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105" yWindow="-105" windowWidth="20730" windowHeight="1176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TAKE-OFF'!$A$2:$M$82</definedName>
    <definedName name="_xlnm.Print_Area" localSheetId="0">SUMMARY!$A$1:$M$18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L68" i="1" l="1"/>
  <c r="L67" i="1"/>
  <c r="L66" i="1"/>
  <c r="L65" i="1"/>
  <c r="L64" i="1"/>
  <c r="L62" i="1"/>
  <c r="A60" i="1"/>
  <c r="A51" i="1"/>
  <c r="A45" i="1"/>
  <c r="A42" i="1"/>
  <c r="A41" i="1"/>
  <c r="A37" i="1"/>
  <c r="A30" i="1"/>
  <c r="A20" i="1"/>
  <c r="A21" i="1" s="1"/>
  <c r="A19" i="1"/>
  <c r="A17" i="1"/>
  <c r="L13" i="1"/>
  <c r="K59" i="1"/>
  <c r="K58" i="1"/>
  <c r="I59" i="1"/>
  <c r="I58" i="1"/>
  <c r="G59" i="1"/>
  <c r="G58" i="1"/>
  <c r="L58" i="1" s="1"/>
  <c r="G55" i="1"/>
  <c r="D57" i="1"/>
  <c r="K57" i="1" s="1"/>
  <c r="D56" i="1"/>
  <c r="K56" i="1" s="1"/>
  <c r="D55" i="1"/>
  <c r="I55" i="1" s="1"/>
  <c r="D54" i="1"/>
  <c r="K54" i="1" s="1"/>
  <c r="D53" i="1"/>
  <c r="K53" i="1" s="1"/>
  <c r="D52" i="1"/>
  <c r="K52" i="1" s="1"/>
  <c r="K50" i="1"/>
  <c r="I50" i="1"/>
  <c r="G50" i="1"/>
  <c r="G46" i="1"/>
  <c r="D49" i="1"/>
  <c r="G49" i="1" s="1"/>
  <c r="D48" i="1"/>
  <c r="K48" i="1" s="1"/>
  <c r="D47" i="1"/>
  <c r="G47" i="1" s="1"/>
  <c r="D46" i="1"/>
  <c r="K46" i="1" s="1"/>
  <c r="K44" i="1"/>
  <c r="I44" i="1"/>
  <c r="G44" i="1"/>
  <c r="L44" i="1" s="1"/>
  <c r="D43" i="1"/>
  <c r="G43" i="1" s="1"/>
  <c r="K61" i="1"/>
  <c r="I61" i="1"/>
  <c r="G61" i="1"/>
  <c r="K40" i="1"/>
  <c r="K39" i="1"/>
  <c r="K38" i="1"/>
  <c r="I40" i="1"/>
  <c r="I39" i="1"/>
  <c r="I38" i="1"/>
  <c r="G40" i="1"/>
  <c r="G39" i="1"/>
  <c r="G38" i="1"/>
  <c r="K36" i="1"/>
  <c r="K35" i="1"/>
  <c r="K34" i="1"/>
  <c r="I36" i="1"/>
  <c r="I35" i="1"/>
  <c r="I34" i="1"/>
  <c r="G36" i="1"/>
  <c r="G35" i="1"/>
  <c r="G34" i="1"/>
  <c r="K33" i="1"/>
  <c r="K32" i="1"/>
  <c r="K31" i="1"/>
  <c r="I33" i="1"/>
  <c r="I32" i="1"/>
  <c r="I31" i="1"/>
  <c r="G33" i="1"/>
  <c r="G32" i="1"/>
  <c r="G31" i="1"/>
  <c r="K29" i="1"/>
  <c r="K28" i="1"/>
  <c r="K27" i="1"/>
  <c r="K26" i="1"/>
  <c r="K25" i="1"/>
  <c r="I27" i="1"/>
  <c r="I26" i="1"/>
  <c r="I25" i="1"/>
  <c r="H29" i="1"/>
  <c r="I29" i="1" s="1"/>
  <c r="H28" i="1"/>
  <c r="I28" i="1" s="1"/>
  <c r="G27" i="1"/>
  <c r="G26" i="1"/>
  <c r="G25" i="1"/>
  <c r="F29" i="1"/>
  <c r="G29" i="1" s="1"/>
  <c r="F28" i="1"/>
  <c r="G28" i="1" s="1"/>
  <c r="K24" i="1"/>
  <c r="K23" i="1"/>
  <c r="K22" i="1"/>
  <c r="K21" i="1"/>
  <c r="K20" i="1"/>
  <c r="K19" i="1"/>
  <c r="K18" i="1"/>
  <c r="K17" i="1"/>
  <c r="I24" i="1"/>
  <c r="I23" i="1"/>
  <c r="I22" i="1"/>
  <c r="I21" i="1"/>
  <c r="I20" i="1"/>
  <c r="I19" i="1"/>
  <c r="I18" i="1"/>
  <c r="G24" i="1"/>
  <c r="G23" i="1"/>
  <c r="G22" i="1"/>
  <c r="G21" i="1"/>
  <c r="G20" i="1"/>
  <c r="G19" i="1"/>
  <c r="G18" i="1"/>
  <c r="A22" i="1" l="1"/>
  <c r="K55" i="1"/>
  <c r="I43" i="1"/>
  <c r="L43" i="1" s="1"/>
  <c r="I54" i="1"/>
  <c r="K43" i="1"/>
  <c r="I46" i="1"/>
  <c r="L46" i="1" s="1"/>
  <c r="K49" i="1"/>
  <c r="L49" i="1" s="1"/>
  <c r="G54" i="1"/>
  <c r="L54" i="1" s="1"/>
  <c r="L55" i="1"/>
  <c r="I48" i="1"/>
  <c r="G52" i="1"/>
  <c r="I52" i="1"/>
  <c r="I49" i="1"/>
  <c r="G53" i="1"/>
  <c r="I53" i="1"/>
  <c r="I47" i="1"/>
  <c r="L47" i="1" s="1"/>
  <c r="G48" i="1"/>
  <c r="L48" i="1" s="1"/>
  <c r="L59" i="1"/>
  <c r="L50" i="1"/>
  <c r="K47" i="1"/>
  <c r="G56" i="1"/>
  <c r="I56" i="1"/>
  <c r="L61" i="1"/>
  <c r="G57" i="1"/>
  <c r="I57" i="1"/>
  <c r="L24" i="1"/>
  <c r="L40" i="1"/>
  <c r="L32" i="1"/>
  <c r="L34" i="1"/>
  <c r="L36" i="1"/>
  <c r="L35" i="1"/>
  <c r="L39" i="1"/>
  <c r="L38" i="1"/>
  <c r="L21" i="1"/>
  <c r="L22" i="1"/>
  <c r="L33" i="1"/>
  <c r="L19" i="1"/>
  <c r="L23" i="1"/>
  <c r="L18" i="1"/>
  <c r="L29" i="1"/>
  <c r="L28" i="1"/>
  <c r="L26" i="1"/>
  <c r="L27" i="1"/>
  <c r="L20" i="1"/>
  <c r="L25" i="1"/>
  <c r="A23" i="1" l="1"/>
  <c r="A24" i="1"/>
  <c r="L52" i="1"/>
  <c r="L56" i="1"/>
  <c r="L53" i="1"/>
  <c r="L57" i="1"/>
  <c r="A25" i="1" l="1"/>
  <c r="A26" i="1" s="1"/>
  <c r="K12" i="1"/>
  <c r="I12" i="1"/>
  <c r="G12" i="1"/>
  <c r="A27" i="1" l="1"/>
  <c r="L12" i="1"/>
  <c r="L31" i="1"/>
  <c r="I17" i="1"/>
  <c r="G17" i="1"/>
  <c r="A16" i="1"/>
  <c r="A29" i="1" l="1"/>
  <c r="A28" i="1"/>
  <c r="C11" i="3"/>
  <c r="L17" i="1"/>
  <c r="A31" i="1" l="1"/>
  <c r="B9" i="1"/>
  <c r="A13" i="1"/>
  <c r="A14" i="1"/>
  <c r="A15" i="1"/>
  <c r="A62" i="1"/>
  <c r="A32" i="1" l="1"/>
  <c r="A34" i="1" l="1"/>
  <c r="A36" i="1" s="1"/>
  <c r="A35" i="1"/>
  <c r="A33" i="1"/>
  <c r="A38" i="1" l="1"/>
  <c r="A39" i="1" l="1"/>
  <c r="B5" i="1"/>
  <c r="B3" i="1"/>
  <c r="A40" i="1" l="1"/>
  <c r="D11" i="3"/>
  <c r="A43" i="1" l="1"/>
  <c r="A18" i="1"/>
  <c r="A44" i="1" l="1"/>
  <c r="C12" i="3"/>
  <c r="A46" i="1" l="1"/>
  <c r="D12" i="3"/>
  <c r="D13" i="3" s="1"/>
  <c r="C13" i="3"/>
  <c r="C15" i="3" s="1"/>
  <c r="C16" i="3" s="1"/>
  <c r="C17" i="3" s="1"/>
  <c r="C18" i="3" s="1"/>
  <c r="A47" i="1" l="1"/>
  <c r="A48" i="1" s="1"/>
  <c r="D15" i="3"/>
  <c r="D16" i="3"/>
  <c r="D17" i="3"/>
  <c r="D18" i="3" l="1"/>
  <c r="A49" i="1"/>
  <c r="A50" i="1" l="1"/>
  <c r="A52" i="1"/>
  <c r="A53" i="1" l="1"/>
  <c r="A54" i="1" l="1"/>
  <c r="A55" i="1" l="1"/>
  <c r="A56" i="1" l="1"/>
  <c r="A58" i="1" l="1"/>
  <c r="A59" i="1" s="1"/>
  <c r="A57" i="1"/>
  <c r="A61" i="1" l="1"/>
</calcChain>
</file>

<file path=xl/sharedStrings.xml><?xml version="1.0" encoding="utf-8"?>
<sst xmlns="http://schemas.openxmlformats.org/spreadsheetml/2006/main" count="141" uniqueCount="92">
  <si>
    <t>DESCRIPTION</t>
  </si>
  <si>
    <t>QUANTITY</t>
  </si>
  <si>
    <t>UNIT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</si>
  <si>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</si>
  <si>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</si>
  <si>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</si>
  <si>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</si>
  <si>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</si>
  <si>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</si>
  <si>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</si>
  <si>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</si>
  <si>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</si>
  <si>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</si>
  <si>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</si>
  <si>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</si>
  <si>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</si>
  <si>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</si>
  <si>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</si>
  <si>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</si>
  <si>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</si>
  <si>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</si>
  <si>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</si>
  <si>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</si>
  <si>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</si>
  <si>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</si>
  <si>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</si>
  <si>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</si>
  <si>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</si>
  <si>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</si>
  <si>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FULL SCOPE</t>
  </si>
  <si>
    <t>Joists/Rafters</t>
  </si>
  <si>
    <t>Stairs</t>
  </si>
  <si>
    <t>01. OVERHEAD AND PREMLIMINARIES</t>
  </si>
  <si>
    <t>Overhead and Preliminaries</t>
  </si>
  <si>
    <t>M2</t>
  </si>
  <si>
    <t>08. TIMBER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</si>
  <si>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</si>
  <si>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</si>
  <si>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</si>
  <si>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</si>
  <si>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</si>
  <si>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</si>
  <si>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</si>
  <si>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</si>
  <si>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</si>
  <si>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>Timber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</si>
  <si>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</si>
  <si>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</si>
  <si>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</si>
  <si>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</si>
  <si>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</si>
  <si>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Proposed Building</t>
  </si>
  <si>
    <t>Wooden Posts/ Beams</t>
  </si>
  <si>
    <t>(FL1) (2) (240x45) MGP10 Beam
Qty has been multiplied</t>
  </si>
  <si>
    <t>(FL2) (2) (240x45) Hyspan LVL Beam
Qty has been multiplied</t>
  </si>
  <si>
    <t>(FL3) (2) (200x45) Hyspan LVL Beam
Qty has been multiplied</t>
  </si>
  <si>
    <t>(FL4) (2) (240x45) MGP10 Beam
Qty has been multiplied</t>
  </si>
  <si>
    <t>(FL5) (2) (190x45) MGP10 Beam
Qty has been multiplied</t>
  </si>
  <si>
    <t>(FL6) (2) (240x45) Hyspan LVL Beam
Qty has been multiplied</t>
  </si>
  <si>
    <t>(GL1) (2) (190x45) MGP10 Beam
Qty has been multiplied</t>
  </si>
  <si>
    <t>(GL3) (240x45) Hyspan LVL or (240x45) MGP10 Beam</t>
  </si>
  <si>
    <t>(UL) (120x45) MGP10 Beam</t>
  </si>
  <si>
    <t>(UL1) (190x45) MGP10 Beam</t>
  </si>
  <si>
    <t>(UL2) (190x45) MGP10 Beam</t>
  </si>
  <si>
    <t xml:space="preserve">(DS1) (2) (90x45) MGP10 Timber Stud (H-3000mm)
Qty has been multiplied </t>
  </si>
  <si>
    <t xml:space="preserve">(DS1) (2) (90x45) MGP10 Timber Stud (H-4630mm)
Qty has been multiplied </t>
  </si>
  <si>
    <t>(FJ1) (400mm Deep) Posi Joist @ 450 O.C.</t>
  </si>
  <si>
    <t>(FJ2) (300mm Deep) Posi Joist @ 450 O.C.</t>
  </si>
  <si>
    <t>(19mm) Particle Board</t>
  </si>
  <si>
    <t xml:space="preserve">(R1) (190x45) MGP10 Roof Rafter @ (If Req'd to be Confirmed) (89.14 M2) </t>
  </si>
  <si>
    <t xml:space="preserve">(R2) (190x45) MGP10 Roof Rafter w/ 2 Rows of Noggings @ 450 (If Req'd to be Confirmed) (135.12 M2) </t>
  </si>
  <si>
    <t>Pre-Engineered Roof Trusses (If Req'd to be Confirmed)</t>
  </si>
  <si>
    <t>Bracing</t>
  </si>
  <si>
    <t>(P1) Plywood bracing to frame using (30mmx2.8mm Dia) Galvanized Flat - Head Nails  (Bracing Capacity - 3.4 KN/m)</t>
  </si>
  <si>
    <t>(P2) Plywood bracing to frame using (30mmx2.8mm Dia) Galvanized Flat - Head Nails (Bracing Capacity - 6.0 KN/m)</t>
  </si>
  <si>
    <t>Timber Stair 
 - (900mm L x 250mm W) Tread = 17 EA
 - (900mm L x 180mm H) Riser  = 18 EA</t>
  </si>
  <si>
    <t>LOC</t>
  </si>
  <si>
    <t>Walls</t>
  </si>
  <si>
    <t>Wall Type ST01</t>
  </si>
  <si>
    <t xml:space="preserve">(90x45 x 2800mm H) Timber Stud @ 450 O.C. </t>
  </si>
  <si>
    <t xml:space="preserve">(90x45) Top &amp; Bottom Plates </t>
  </si>
  <si>
    <t>Wall Type ST05</t>
  </si>
  <si>
    <t>Wall Type ST03</t>
  </si>
  <si>
    <t xml:space="preserve">(90x45 x 3400mm H) Timber Stud @ 450 O.C. </t>
  </si>
  <si>
    <t xml:space="preserve">(90x45 x 4290mm H) Timber Stud @ 450 O.C. </t>
  </si>
  <si>
    <t xml:space="preserve">(90x45 x 4500mm H) Timber Stud @ 450 O.C. </t>
  </si>
  <si>
    <t xml:space="preserve">(90x45 x 2600mm H) Timber Stud @ 450 O.C. </t>
  </si>
  <si>
    <t xml:space="preserve">(90x45 x 2960mm H) Timber Stud @ 450 O.C. </t>
  </si>
  <si>
    <t xml:space="preserve">(90x45 x 3000mm H) Timber Stud @ 450 O.C. </t>
  </si>
  <si>
    <t xml:space="preserve">(90x45 x 3570mm H) Timber Stud @ 450 O.C. </t>
  </si>
  <si>
    <t xml:space="preserve">(90x45 x 4830mm H) Timber Stud @ 450 O.C. </t>
  </si>
  <si>
    <t xml:space="preserve">(15mm) Plywood Backing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</si>
</sst>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[$$-409]#,##0.00"/>
  </numFmts>
  <fonts count="24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-0.24997711111789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9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6" fillId="0" borderId="6" xfId="0" applyFont="1" applyBorder="1" applyAlignment="1">
      <alignment horizontal="right" vertical="center"/>
    </xf>
    <xf numFmtId="0" fontId="19" fillId="0" borderId="6" xfId="0" applyFont="1" applyBorder="1"/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6" fontId="7" fillId="8" borderId="21" xfId="0" applyNumberFormat="1" applyFont="1" applyFill="1" applyBorder="1"/>
    <xf numFmtId="164" fontId="7" fillId="8" borderId="22" xfId="0" applyNumberFormat="1" applyFont="1" applyFill="1" applyBorder="1"/>
    <xf numFmtId="16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1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5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6" fontId="9" fillId="10" borderId="19" xfId="2" applyNumberFormat="1" applyFont="1" applyFill="1" applyBorder="1" applyAlignment="1">
      <alignment vertical="center"/>
    </xf>
    <xf numFmtId="166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6" fontId="22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168" fontId="9" fillId="10" borderId="0" xfId="0" applyNumberFormat="1" applyFont="1" applyFill="1" applyBorder="1" applyAlignment="1">
      <alignment vertical="center"/>
    </xf>
    <xf numFmtId="165" fontId="7" fillId="0" borderId="0" xfId="0" applyNumberFormat="1" applyFont="1" applyBorder="1" applyAlignment="1">
      <alignment horizontal="right" vertical="center"/>
    </xf>
    <xf numFmtId="0" fontId="8" fillId="3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Continuous" vertical="center"/>
    </xf>
    <xf numFmtId="168" fontId="2" fillId="0" borderId="0" xfId="0" applyNumberFormat="1" applyFont="1" applyBorder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8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7" fontId="21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8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Border="1" applyAlignment="1">
      <alignment horizontal="center" vertical="center"/>
    </xf>
    <xf numFmtId="0" fontId="9" fillId="10" borderId="0" xfId="0" applyFont="1" applyFill="1" applyBorder="1" applyAlignment="1">
      <alignment horizontal="left" vertical="center"/>
    </xf>
    <xf numFmtId="0" fontId="9" fillId="10" borderId="0" xfId="0" applyFont="1" applyFill="1" applyBorder="1" applyAlignment="1">
      <alignment vertical="center"/>
    </xf>
    <xf numFmtId="168" fontId="9" fillId="10" borderId="11" xfId="0" applyNumberFormat="1" applyFont="1" applyFill="1" applyBorder="1" applyAlignment="1">
      <alignment vertical="center"/>
    </xf>
    <xf numFmtId="0" fontId="7" fillId="0" borderId="0" xfId="0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8" fillId="3" borderId="0" xfId="0" applyNumberFormat="1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167" fontId="21" fillId="9" borderId="1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15" fillId="0" borderId="0" xfId="0" applyFont="1" applyBorder="1" applyAlignment="1">
      <alignment horizontal="centerContinuous" vertical="center"/>
    </xf>
    <xf numFmtId="0" fontId="15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0" fontId="19" fillId="0" borderId="0" xfId="0" applyFont="1" applyBorder="1"/>
    <xf numFmtId="0" fontId="19" fillId="0" borderId="0" xfId="0" applyFont="1" applyBorder="1" applyAlignment="1">
      <alignment horizontal="left" vertical="center"/>
    </xf>
    <xf numFmtId="0" fontId="7" fillId="0" borderId="0" xfId="0" applyFont="1" applyBorder="1"/>
    <xf numFmtId="0" fontId="20" fillId="0" borderId="0" xfId="0" applyFont="1" applyBorder="1" applyAlignment="1">
      <alignment vertical="center"/>
    </xf>
    <xf numFmtId="0" fontId="7" fillId="3" borderId="0" xfId="0" applyFont="1" applyFill="1" applyBorder="1" applyAlignment="1">
      <alignment horizontal="center" vertical="center"/>
    </xf>
    <xf numFmtId="165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3" fillId="11" borderId="5" xfId="0" applyNumberFormat="1" applyFont="1" applyFill="1" applyBorder="1" applyAlignment="1">
      <alignment horizontal="center" vertical="center"/>
    </xf>
    <xf numFmtId="167" fontId="23" fillId="11" borderId="28" xfId="0" applyNumberFormat="1" applyFont="1" applyFill="1" applyBorder="1" applyAlignment="1">
      <alignment horizontal="center" vertical="center"/>
    </xf>
    <xf numFmtId="167" fontId="21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6" fontId="7" fillId="11" borderId="9" xfId="2" applyNumberFormat="1" applyFont="1" applyFill="1" applyBorder="1" applyAlignment="1">
      <alignment horizontal="center" vertical="center"/>
    </xf>
    <xf numFmtId="0" fontId="22" fillId="9" borderId="9" xfId="2" applyNumberFormat="1" applyFont="1" applyFill="1" applyBorder="1" applyAlignment="1">
      <alignment horizontal="center" vertical="center"/>
    </xf>
    <xf numFmtId="39" fontId="2" fillId="12" borderId="1" xfId="4" applyFont="1" applyFill="1" applyBorder="1">
      <alignment horizontal="left" vertical="center" wrapText="1"/>
    </xf>
    <xf numFmtId="169" fontId="21" fillId="9" borderId="28" xfId="0" applyNumberFormat="1" applyFont="1" applyFill="1" applyBorder="1" applyAlignment="1">
      <alignment horizontal="center" vertical="center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165" fontId="14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167" fontId="14" fillId="0" borderId="0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1" fillId="9" borderId="12" xfId="0" applyFont="1" applyFill="1" applyBorder="1" applyAlignment="1">
      <alignment horizontal="right" vertical="center"/>
    </xf>
    <xf numFmtId="0" fontId="21" fillId="9" borderId="4" xfId="0" applyFont="1" applyFill="1" applyBorder="1" applyAlignment="1">
      <alignment horizontal="right" vertical="center"/>
    </xf>
    <xf numFmtId="0" fontId="21" fillId="9" borderId="26" xfId="0" applyFont="1" applyFill="1" applyBorder="1" applyAlignment="1">
      <alignment horizontal="right" vertical="center"/>
    </xf>
    <xf numFmtId="0" fontId="23" fillId="11" borderId="12" xfId="0" applyFont="1" applyFill="1" applyBorder="1" applyAlignment="1">
      <alignment horizontal="right" vertical="center"/>
    </xf>
    <xf numFmtId="0" fontId="23" fillId="11" borderId="4" xfId="0" applyFont="1" applyFill="1" applyBorder="1" applyAlignment="1">
      <alignment horizontal="right" vertical="center"/>
    </xf>
    <xf numFmtId="0" fontId="23" fillId="11" borderId="26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60000"/>
                <a:lumOff val="40000"/>
              </a:schemeClr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Timber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60881.16</c:v>
                </c:pt>
                <c:pt idx="1">
                  <c:v>95573.496220000001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0520832"/>
        <c:axId val="200522368"/>
        <c:axId val="0"/>
      </c:bar3DChart>
      <c:catAx>
        <c:axId val="2005208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522368"/>
        <c:crosses val="autoZero"/>
        <c:auto val="1"/>
        <c:lblAlgn val="ctr"/>
        <c:lblOffset val="100"/>
        <c:noMultiLvlLbl val="0"/>
      </c:catAx>
      <c:valAx>
        <c:axId val="200522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5208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885596</xdr:colOff>
      <xdr:row>1</xdr:row>
      <xdr:rowOff>68857</xdr:rowOff>
    </xdr:from>
    <xdr:to>
      <xdr:col>3</xdr:col>
      <xdr:colOff>1132939</xdr:colOff>
      <xdr:row>7</xdr:row>
      <xdr:rowOff>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B67684FB-6EB9-472D-AC55-4430503F3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07132" y="252471"/>
          <a:ext cx="1590024" cy="10328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0</xdr:colOff>
      <xdr:row>39</xdr:row>
      <xdr:rowOff>0</xdr:rowOff>
    </xdr:from>
    <xdr:to>
      <xdr:col>22</xdr:col>
      <xdr:colOff>183748</xdr:colOff>
      <xdr:row>61</xdr:row>
      <xdr:rowOff>68206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D03728C7-3B86-448B-9DBB-65C6D85BD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97405" y="10923608"/>
          <a:ext cx="10058400" cy="4746307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39</xdr:row>
      <xdr:rowOff>0</xdr:rowOff>
    </xdr:from>
    <xdr:to>
      <xdr:col>22</xdr:col>
      <xdr:colOff>183748</xdr:colOff>
      <xdr:row>61</xdr:row>
      <xdr:rowOff>68206</xdr:rowOff>
    </xdr:to>
    <xdr:pic>
      <xdr:nvPicPr>
        <xdr:cNvPr id="7" name="Picture 6">
          <a:extLst>
            <a:ext uri="{FF2B5EF4-FFF2-40B4-BE49-F238E27FC236}">
              <a16:creationId xmlns="" xmlns:a16="http://schemas.microsoft.com/office/drawing/2014/main" id="{5F9B4A1A-7993-4DF7-A993-D050BB4F8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97405" y="10923608"/>
          <a:ext cx="10058400" cy="4746307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39</xdr:row>
      <xdr:rowOff>0</xdr:rowOff>
    </xdr:from>
    <xdr:to>
      <xdr:col>22</xdr:col>
      <xdr:colOff>183748</xdr:colOff>
      <xdr:row>61</xdr:row>
      <xdr:rowOff>68206</xdr:rowOff>
    </xdr:to>
    <xdr:pic>
      <xdr:nvPicPr>
        <xdr:cNvPr id="9" name="Picture 8">
          <a:extLst>
            <a:ext uri="{FF2B5EF4-FFF2-40B4-BE49-F238E27FC236}">
              <a16:creationId xmlns="" xmlns:a16="http://schemas.microsoft.com/office/drawing/2014/main" id="{597F3C9E-838E-4A81-8058-D22EB6BF8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97405" y="10923608"/>
          <a:ext cx="10058400" cy="4746307"/>
        </a:xfrm>
        <a:prstGeom prst="rect">
          <a:avLst/>
        </a:prstGeom>
        <a:solidFill>
          <a:srgbClr val="FFFFFF">
            <a:shade val="85000"/>
          </a:srgbClr>
        </a:solidFill>
        <a:ln w="88900" cap="sq">
          <a:solidFill>
            <a:srgbClr val="FFFFFF"/>
          </a:solidFill>
          <a:miter lim="800000"/>
        </a:ln>
        <a:effectLst>
          <a:outerShdw blurRad="55000" dist="18000" dir="5400000" algn="tl" rotWithShape="0">
            <a:srgbClr val="000000">
              <a:alpha val="40000"/>
            </a:srgbClr>
          </a:outerShdw>
        </a:effectLst>
        <a:scene3d>
          <a:camera prst="orthographicFront"/>
          <a:lightRig rig="twoPt" dir="t">
            <a:rot lat="0" lon="0" rev="7200000"/>
          </a:lightRig>
        </a:scene3d>
        <a:sp3d>
          <a:bevelT w="25400" h="19050"/>
          <a:contourClr>
            <a:srgbClr val="FFFFFF"/>
          </a:contourClr>
        </a:sp3d>
      </xdr:spPr>
    </xdr:pic>
    <xdr:clientData/>
  </xdr:twoCellAnchor>
  <xdr:twoCellAnchor editAs="oneCell">
    <xdr:from>
      <xdr:col>12</xdr:col>
      <xdr:colOff>1498238</xdr:colOff>
      <xdr:row>2</xdr:row>
      <xdr:rowOff>27291</xdr:rowOff>
    </xdr:from>
    <xdr:to>
      <xdr:col>12</xdr:col>
      <xdr:colOff>3498770</xdr:colOff>
      <xdr:row>8</xdr:row>
      <xdr:rowOff>24114</xdr:rowOff>
    </xdr:to>
    <xdr:pic>
      <xdr:nvPicPr>
        <xdr:cNvPr id="11" name="Picture 10">
          <a:extLst>
            <a:ext uri="{FF2B5EF4-FFF2-40B4-BE49-F238E27FC236}">
              <a16:creationId xmlns="" xmlns:a16="http://schemas.microsoft.com/office/drawing/2014/main" id="{4E8DD959-BAB1-49C7-BBDB-B0D49ADBAC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95643" y="220202"/>
          <a:ext cx="2000532" cy="1202520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3366CC"/>
    <pageSetUpPr fitToPage="1"/>
  </sheetPr>
  <dimension ref="A1:E18"/>
  <sheetViews>
    <sheetView view="pageBreakPreview" zoomScale="83" zoomScaleNormal="100" zoomScaleSheetLayoutView="70" workbookViewId="0">
      <pane ySplit="10" topLeftCell="A11" activePane="bottomLeft" state="frozen"/>
      <selection activeCell="N7" sqref="N7"/>
      <selection pane="bottomLeft" activeCell="B9" sqref="B9"/>
    </sheetView>
  </sheetViews>
  <sheetFormatPr defaultColWidth="9" defaultRowHeight="14.25" x14ac:dyDescent="0.2"/>
  <cols>
    <col min="1" max="1" width="23.625" style="28" customWidth="1"/>
    <col min="2" max="2" width="44.875" style="28" customWidth="1"/>
    <col min="3" max="4" width="17.625" style="32" customWidth="1"/>
    <col min="5" max="5" width="9" style="28"/>
    <col min="6" max="7" width="14.375" style="28" customWidth="1"/>
    <col min="8" max="10" width="9" style="28"/>
    <col min="11" max="12" width="15.625" style="28" customWidth="1"/>
    <col min="13" max="16384" width="9" style="28"/>
  </cols>
  <sheetData>
    <row r="1" spans="1:5" ht="14.1" x14ac:dyDescent="0.3">
      <c r="A1" s="38"/>
      <c r="B1" s="33"/>
      <c r="C1" s="49"/>
      <c r="D1" s="39"/>
    </row>
    <row r="2" spans="1:5" ht="14.1" x14ac:dyDescent="0.3">
      <c r="A2" s="18" t="s">
        <v>19</v>
      </c>
      <c r="B2" s="43" t="s">
        <v>51</v>
      </c>
      <c r="C2" s="50"/>
      <c r="D2" s="9"/>
    </row>
    <row r="3" spans="1:5" ht="14.1" x14ac:dyDescent="0.3">
      <c r="A3" s="18"/>
      <c r="B3" s="17"/>
      <c r="C3" s="50"/>
      <c r="D3" s="9"/>
    </row>
    <row r="4" spans="1:5" ht="14.1" x14ac:dyDescent="0.3">
      <c r="A4" s="18" t="s">
        <v>14</v>
      </c>
      <c r="B4" s="43"/>
      <c r="C4" s="50"/>
      <c r="D4" s="9"/>
    </row>
    <row r="5" spans="1:5" ht="14.1" x14ac:dyDescent="0.3">
      <c r="A5" s="18"/>
      <c r="B5" s="17"/>
      <c r="C5" s="50"/>
      <c r="D5" s="9"/>
    </row>
    <row r="6" spans="1:5" ht="14.1" x14ac:dyDescent="0.3">
      <c r="A6" s="18" t="s">
        <v>13</v>
      </c>
      <c r="B6" s="17"/>
      <c r="C6" s="50"/>
      <c r="D6" s="9"/>
    </row>
    <row r="7" spans="1:5" ht="14.1" x14ac:dyDescent="0.3">
      <c r="A7" s="18"/>
      <c r="B7" s="52"/>
      <c r="C7" s="50"/>
      <c r="D7" s="9"/>
    </row>
    <row r="8" spans="1:5" ht="14.1" x14ac:dyDescent="0.3">
      <c r="A8" s="18" t="s">
        <v>26</v>
      </c>
      <c r="B8" s="17">
        <v>543</v>
      </c>
      <c r="C8" s="50"/>
      <c r="D8" s="9"/>
    </row>
    <row r="9" spans="1:5" ht="14.45" thickBot="1" x14ac:dyDescent="0.35">
      <c r="A9" s="18"/>
      <c r="B9" s="40"/>
      <c r="C9" s="51"/>
      <c r="D9" s="41"/>
    </row>
    <row r="10" spans="1:5" s="29" customFormat="1" ht="28.5" thickBot="1" x14ac:dyDescent="0.35">
      <c r="A10" s="67" t="s">
        <v>5</v>
      </c>
      <c r="B10" s="68" t="s">
        <v>0</v>
      </c>
      <c r="C10" s="68" t="s">
        <v>6</v>
      </c>
      <c r="D10" s="69" t="s">
        <v>27</v>
      </c>
      <c r="E10" s="70"/>
    </row>
    <row r="11" spans="1:5" ht="14.1" x14ac:dyDescent="0.3">
      <c r="A11" s="55">
        <v>1000</v>
      </c>
      <c r="B11" s="56" t="s">
        <v>33</v>
      </c>
      <c r="C11" s="57">
        <f>'MATERIAL TAKE-OFF'!L13</f>
        <v>60881.16</v>
      </c>
      <c r="D11" s="58">
        <f>C11/$B$8</f>
        <v>112.12</v>
      </c>
    </row>
    <row r="12" spans="1:5" ht="14.1" x14ac:dyDescent="0.3">
      <c r="A12" s="42">
        <v>8000</v>
      </c>
      <c r="B12" s="37" t="s">
        <v>45</v>
      </c>
      <c r="C12" s="48">
        <f>'MATERIAL TAKE-OFF'!L62</f>
        <v>95573.496220000001</v>
      </c>
      <c r="D12" s="59">
        <f t="shared" ref="D12" si="0">C12/$B$8</f>
        <v>176.01012195211786</v>
      </c>
    </row>
    <row r="13" spans="1:5" s="30" customFormat="1" ht="14.45" thickBot="1" x14ac:dyDescent="0.35">
      <c r="A13" s="138" t="s">
        <v>40</v>
      </c>
      <c r="B13" s="138"/>
      <c r="C13" s="71">
        <f>SUM(C11:C12)</f>
        <v>156454.65622</v>
      </c>
      <c r="D13" s="71">
        <f>SUM(D11:D12)</f>
        <v>288.13012195211786</v>
      </c>
    </row>
    <row r="14" spans="1:5" ht="14.45" thickBot="1" x14ac:dyDescent="0.35">
      <c r="A14" s="139"/>
      <c r="B14" s="139"/>
      <c r="C14" s="139"/>
      <c r="D14" s="139"/>
    </row>
    <row r="15" spans="1:5" s="31" customFormat="1" ht="14.1" x14ac:dyDescent="0.3">
      <c r="A15" s="73" t="s">
        <v>41</v>
      </c>
      <c r="B15" s="74">
        <v>0.15</v>
      </c>
      <c r="C15" s="75">
        <f>$C$13*B15</f>
        <v>23468.198433000001</v>
      </c>
      <c r="D15" s="135">
        <f>$D$13*B15</f>
        <v>43.219518292817675</v>
      </c>
    </row>
    <row r="16" spans="1:5" s="31" customFormat="1" ht="14.1" x14ac:dyDescent="0.3">
      <c r="A16" s="132" t="s">
        <v>42</v>
      </c>
      <c r="B16" s="133"/>
      <c r="C16" s="134">
        <f>C15+C13</f>
        <v>179922.85465300002</v>
      </c>
      <c r="D16" s="134">
        <f>$D$13*B16</f>
        <v>0</v>
      </c>
    </row>
    <row r="17" spans="1:4" s="31" customFormat="1" ht="14.45" thickBot="1" x14ac:dyDescent="0.35">
      <c r="A17" s="73" t="s">
        <v>43</v>
      </c>
      <c r="B17" s="74">
        <v>0.1</v>
      </c>
      <c r="C17" s="75">
        <f>C16*B17</f>
        <v>17992.285465300003</v>
      </c>
      <c r="D17" s="75">
        <f>$D$13*B17</f>
        <v>28.813012195211787</v>
      </c>
    </row>
    <row r="18" spans="1:4" s="29" customFormat="1" ht="14.45" thickBot="1" x14ac:dyDescent="0.35">
      <c r="A18" s="140" t="s">
        <v>44</v>
      </c>
      <c r="B18" s="141"/>
      <c r="C18" s="72">
        <f>SUM(C16:C17)</f>
        <v>197915.14011830001</v>
      </c>
      <c r="D18" s="72">
        <f>SUM(D13:D17)</f>
        <v>360.16265244014733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pageSetUpPr fitToPage="1"/>
  </sheetPr>
  <dimension ref="A1:M82"/>
  <sheetViews>
    <sheetView showGridLines="0" tabSelected="1" view="pageBreakPreview" topLeftCell="A2" zoomScale="79" zoomScaleNormal="70" zoomScaleSheetLayoutView="55" workbookViewId="0">
      <pane ySplit="9" topLeftCell="A11" activePane="bottomLeft" state="frozen"/>
      <selection activeCell="N7" sqref="N7"/>
      <selection pane="bottomLeft" activeCell="M23" sqref="M23"/>
    </sheetView>
  </sheetViews>
  <sheetFormatPr defaultColWidth="9" defaultRowHeight="14.25" x14ac:dyDescent="0.2"/>
  <cols>
    <col min="1" max="1" width="8.625" style="7" customWidth="1"/>
    <col min="2" max="2" width="11.375" style="7" customWidth="1"/>
    <col min="3" max="3" width="45.625" style="7" customWidth="1"/>
    <col min="4" max="4" width="10.625" style="12" customWidth="1"/>
    <col min="5" max="5" width="8.375" style="7" customWidth="1"/>
    <col min="6" max="8" width="10.625" style="7" customWidth="1"/>
    <col min="9" max="9" width="12.5" style="7" customWidth="1"/>
    <col min="10" max="10" width="12.875" style="7" customWidth="1"/>
    <col min="11" max="11" width="13.625" style="7" customWidth="1"/>
    <col min="12" max="12" width="15.125" style="7" customWidth="1"/>
    <col min="13" max="13" width="48.37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6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10</v>
      </c>
      <c r="B3" s="89" t="str">
        <f>SUMMARY!B2</f>
        <v>Proposed Building</v>
      </c>
      <c r="C3" s="77"/>
      <c r="D3" s="90"/>
      <c r="E3" s="77"/>
      <c r="F3" s="91"/>
      <c r="G3" s="142"/>
      <c r="H3" s="142"/>
      <c r="I3" s="142"/>
      <c r="J3" s="142"/>
      <c r="K3" s="91"/>
      <c r="L3" s="77"/>
      <c r="M3" s="8"/>
    </row>
    <row r="4" spans="1:13" ht="18.600000000000001" customHeight="1" x14ac:dyDescent="0.3">
      <c r="A4" s="16"/>
      <c r="B4" s="89"/>
      <c r="C4" s="77"/>
      <c r="D4" s="90"/>
      <c r="E4" s="77"/>
      <c r="F4" s="91"/>
      <c r="G4" s="144"/>
      <c r="H4" s="144"/>
      <c r="I4" s="143"/>
      <c r="J4" s="144"/>
      <c r="K4" s="91"/>
      <c r="L4" s="77"/>
      <c r="M4" s="8"/>
    </row>
    <row r="5" spans="1:13" ht="15" customHeight="1" x14ac:dyDescent="0.3">
      <c r="A5" s="16" t="s">
        <v>14</v>
      </c>
      <c r="B5" s="89">
        <f>SUMMARY!B4</f>
        <v>0</v>
      </c>
      <c r="C5" s="77"/>
      <c r="D5" s="90"/>
      <c r="E5" s="77"/>
      <c r="F5" s="91"/>
      <c r="G5" s="144"/>
      <c r="H5" s="144"/>
      <c r="I5" s="146"/>
      <c r="J5" s="144"/>
      <c r="K5" s="91"/>
      <c r="L5" s="77"/>
      <c r="M5" s="8"/>
    </row>
    <row r="6" spans="1:13" ht="15" customHeight="1" x14ac:dyDescent="0.3">
      <c r="A6" s="16"/>
      <c r="B6" s="89"/>
      <c r="C6" s="77"/>
      <c r="D6" s="90"/>
      <c r="E6" s="77"/>
      <c r="F6" s="91"/>
      <c r="G6" s="144"/>
      <c r="H6" s="144"/>
      <c r="I6" s="146"/>
      <c r="J6" s="144"/>
      <c r="K6" s="91"/>
      <c r="L6" s="77"/>
      <c r="M6" s="8"/>
    </row>
    <row r="7" spans="1:13" ht="15" customHeight="1" x14ac:dyDescent="0.3">
      <c r="A7" s="16" t="s">
        <v>8</v>
      </c>
      <c r="B7" s="92" t="s">
        <v>29</v>
      </c>
      <c r="C7" s="77"/>
      <c r="D7" s="90"/>
      <c r="E7" s="77"/>
      <c r="F7" s="91"/>
      <c r="G7" s="144"/>
      <c r="H7" s="144"/>
      <c r="I7" s="146"/>
      <c r="J7" s="144"/>
      <c r="K7" s="91"/>
      <c r="L7" s="77"/>
      <c r="M7" s="8"/>
    </row>
    <row r="8" spans="1:13" ht="15" customHeight="1" x14ac:dyDescent="0.3">
      <c r="A8" s="16"/>
      <c r="B8" s="89"/>
      <c r="C8" s="77"/>
      <c r="D8" s="90"/>
      <c r="E8" s="77"/>
      <c r="F8" s="91"/>
      <c r="G8" s="144"/>
      <c r="H8" s="144"/>
      <c r="I8" s="143"/>
      <c r="J8" s="144"/>
      <c r="K8" s="91"/>
      <c r="L8" s="77"/>
      <c r="M8" s="8"/>
    </row>
    <row r="9" spans="1:13" ht="15" customHeight="1" x14ac:dyDescent="0.3">
      <c r="A9" s="102" t="s">
        <v>7</v>
      </c>
      <c r="B9" s="93">
        <f ca="1">TODAY()</f>
        <v>46066</v>
      </c>
      <c r="C9" s="94"/>
      <c r="D9" s="95"/>
      <c r="E9" s="94"/>
      <c r="F9" s="96"/>
      <c r="G9" s="96"/>
      <c r="H9" s="96"/>
      <c r="I9" s="96"/>
      <c r="J9" s="96"/>
      <c r="K9" s="96"/>
      <c r="L9" s="94"/>
      <c r="M9" s="8"/>
    </row>
    <row r="10" spans="1:13" s="3" customFormat="1" ht="61.35" customHeight="1" x14ac:dyDescent="0.3">
      <c r="A10" s="83" t="s">
        <v>3</v>
      </c>
      <c r="B10" s="84" t="s">
        <v>39</v>
      </c>
      <c r="C10" s="85" t="s">
        <v>0</v>
      </c>
      <c r="D10" s="86" t="s">
        <v>1</v>
      </c>
      <c r="E10" s="85" t="s">
        <v>2</v>
      </c>
      <c r="F10" s="87" t="s">
        <v>38</v>
      </c>
      <c r="G10" s="84" t="s">
        <v>15</v>
      </c>
      <c r="H10" s="84" t="s">
        <v>11</v>
      </c>
      <c r="I10" s="84" t="s">
        <v>16</v>
      </c>
      <c r="J10" s="84" t="s">
        <v>12</v>
      </c>
      <c r="K10" s="84" t="s">
        <v>17</v>
      </c>
      <c r="L10" s="97" t="s">
        <v>4</v>
      </c>
      <c r="M10" s="62" t="s">
        <v>47</v>
      </c>
    </row>
    <row r="11" spans="1:13" s="3" customFormat="1" ht="18" customHeight="1" x14ac:dyDescent="0.3">
      <c r="A11" s="61"/>
      <c r="B11" s="157" t="s">
        <v>32</v>
      </c>
      <c r="C11" s="157"/>
      <c r="D11" s="157"/>
      <c r="E11" s="157"/>
      <c r="F11" s="157"/>
      <c r="G11" s="157"/>
      <c r="H11" s="157"/>
      <c r="I11" s="157"/>
      <c r="J11" s="157"/>
      <c r="K11" s="157"/>
      <c r="L11" s="98"/>
      <c r="M11" s="103"/>
    </row>
    <row r="12" spans="1:13" ht="18" customHeight="1" x14ac:dyDescent="0.3">
      <c r="A12" s="104">
        <v>1</v>
      </c>
      <c r="B12" s="19"/>
      <c r="C12" s="20" t="s">
        <v>33</v>
      </c>
      <c r="D12" s="19">
        <v>543</v>
      </c>
      <c r="E12" s="19" t="s">
        <v>34</v>
      </c>
      <c r="F12" s="54">
        <v>21.67</v>
      </c>
      <c r="G12" s="54">
        <f>D12*F12</f>
        <v>11766.810000000001</v>
      </c>
      <c r="H12" s="54">
        <v>2.91</v>
      </c>
      <c r="I12" s="54">
        <f>D12*H12</f>
        <v>1580.13</v>
      </c>
      <c r="J12" s="54">
        <v>87.54</v>
      </c>
      <c r="K12" s="54">
        <f>D12*J12</f>
        <v>47534.22</v>
      </c>
      <c r="L12" s="99">
        <f>IF(D12="","",(G12+I12+K12))</f>
        <v>60881.16</v>
      </c>
      <c r="M12" s="105"/>
    </row>
    <row r="13" spans="1:13" s="3" customFormat="1" ht="18" customHeight="1" x14ac:dyDescent="0.3">
      <c r="A13" s="64" t="str">
        <f>IF(E13=0,"",1+MAX(A12:A12))</f>
        <v/>
      </c>
      <c r="B13" s="106"/>
      <c r="C13" s="107"/>
      <c r="D13" s="108"/>
      <c r="E13" s="108"/>
      <c r="F13" s="108"/>
      <c r="G13" s="108"/>
      <c r="H13" s="108"/>
      <c r="I13" s="108"/>
      <c r="J13" s="108"/>
      <c r="K13" s="108" t="s">
        <v>9</v>
      </c>
      <c r="L13" s="78">
        <f>SUM(L11:L12)</f>
        <v>60881.16</v>
      </c>
      <c r="M13" s="109"/>
    </row>
    <row r="14" spans="1:13" ht="18" customHeight="1" x14ac:dyDescent="0.3">
      <c r="A14" s="34" t="str">
        <f>IF(E14=0,"",1+MAX(#REF!))</f>
        <v/>
      </c>
      <c r="B14" s="80"/>
      <c r="C14" s="80"/>
      <c r="D14" s="80"/>
      <c r="E14" s="80"/>
      <c r="F14" s="114"/>
      <c r="G14" s="80"/>
      <c r="H14" s="80"/>
      <c r="I14" s="80"/>
      <c r="J14" s="80"/>
      <c r="K14" s="80"/>
      <c r="L14" s="80"/>
      <c r="M14" s="115"/>
    </row>
    <row r="15" spans="1:13" s="3" customFormat="1" ht="18" customHeight="1" x14ac:dyDescent="0.3">
      <c r="A15" s="112" t="str">
        <f>IF(E15=0,"",1+MAX(A14:A14))</f>
        <v/>
      </c>
      <c r="B15" s="158" t="s">
        <v>35</v>
      </c>
      <c r="C15" s="158"/>
      <c r="D15" s="158"/>
      <c r="E15" s="158"/>
      <c r="F15" s="158"/>
      <c r="G15" s="158"/>
      <c r="H15" s="158"/>
      <c r="I15" s="158"/>
      <c r="J15" s="158"/>
      <c r="K15" s="158"/>
      <c r="L15" s="100"/>
      <c r="M15" s="103"/>
    </row>
    <row r="16" spans="1:13" s="3" customFormat="1" ht="14.1" x14ac:dyDescent="0.3">
      <c r="A16" s="113" t="str">
        <f>IF(E16=0,"",1+MAX(A14:A15))</f>
        <v/>
      </c>
      <c r="B16" s="22"/>
      <c r="C16" s="47" t="s">
        <v>52</v>
      </c>
      <c r="D16" s="21"/>
      <c r="E16" s="21"/>
      <c r="F16" s="53"/>
      <c r="G16" s="54"/>
      <c r="H16" s="54"/>
      <c r="I16" s="54"/>
      <c r="J16" s="54"/>
      <c r="K16" s="54"/>
      <c r="L16" s="99"/>
      <c r="M16" s="105"/>
    </row>
    <row r="17" spans="1:13" ht="27.95" x14ac:dyDescent="0.3">
      <c r="A17" s="113">
        <f>IF(E17=0,"",1+MAX(A12:A16))</f>
        <v>2</v>
      </c>
      <c r="B17" s="23"/>
      <c r="C17" s="36" t="s">
        <v>53</v>
      </c>
      <c r="D17" s="21">
        <v>16.22</v>
      </c>
      <c r="E17" s="21" t="s">
        <v>36</v>
      </c>
      <c r="F17" s="54">
        <v>2.4900000000000002</v>
      </c>
      <c r="G17" s="54">
        <f t="shared" ref="G17:G59" si="0">D17*F17</f>
        <v>40.387799999999999</v>
      </c>
      <c r="H17" s="54">
        <v>29.38</v>
      </c>
      <c r="I17" s="54">
        <f t="shared" ref="I17:I59" si="1">D17*H17</f>
        <v>476.54359999999997</v>
      </c>
      <c r="J17" s="54">
        <v>0</v>
      </c>
      <c r="K17" s="54">
        <f>D17*J17</f>
        <v>0</v>
      </c>
      <c r="L17" s="99">
        <f>IF(D17="","",(G17+I17+K17))</f>
        <v>516.93139999999994</v>
      </c>
      <c r="M17" s="105"/>
    </row>
    <row r="18" spans="1:13" s="3" customFormat="1" ht="27.95" x14ac:dyDescent="0.3">
      <c r="A18" s="113">
        <f>IF(E18=0,"",1+MAX(A14:A17))</f>
        <v>3</v>
      </c>
      <c r="B18" s="22"/>
      <c r="C18" s="36" t="s">
        <v>54</v>
      </c>
      <c r="D18" s="21">
        <v>2.2000000000000002</v>
      </c>
      <c r="E18" s="21" t="s">
        <v>36</v>
      </c>
      <c r="F18" s="54">
        <v>2.56</v>
      </c>
      <c r="G18" s="54">
        <f t="shared" si="0"/>
        <v>5.6320000000000006</v>
      </c>
      <c r="H18" s="54">
        <v>41.52</v>
      </c>
      <c r="I18" s="54">
        <f t="shared" si="1"/>
        <v>91.344000000000008</v>
      </c>
      <c r="J18" s="54">
        <v>0</v>
      </c>
      <c r="K18" s="54">
        <f t="shared" ref="K18:K40" si="2">D18*J18</f>
        <v>0</v>
      </c>
      <c r="L18" s="99">
        <f t="shared" ref="L18:L29" si="3">IF(D18="","",(G18+I18+K18))</f>
        <v>96.976000000000013</v>
      </c>
      <c r="M18" s="105"/>
    </row>
    <row r="19" spans="1:13" s="3" customFormat="1" ht="27.95" x14ac:dyDescent="0.3">
      <c r="A19" s="113">
        <f t="shared" ref="A19:A61" si="4">IF(E19=0,"",1+MAX(A15:A18))</f>
        <v>4</v>
      </c>
      <c r="B19" s="22"/>
      <c r="C19" s="36" t="s">
        <v>55</v>
      </c>
      <c r="D19" s="21">
        <v>4.0199999999999996</v>
      </c>
      <c r="E19" s="21" t="s">
        <v>36</v>
      </c>
      <c r="F19" s="54">
        <v>2.19</v>
      </c>
      <c r="G19" s="54">
        <f t="shared" si="0"/>
        <v>8.803799999999999</v>
      </c>
      <c r="H19" s="54">
        <v>34.619999999999997</v>
      </c>
      <c r="I19" s="54">
        <f t="shared" si="1"/>
        <v>139.17239999999998</v>
      </c>
      <c r="J19" s="54">
        <v>0</v>
      </c>
      <c r="K19" s="54">
        <f t="shared" si="2"/>
        <v>0</v>
      </c>
      <c r="L19" s="99">
        <f t="shared" si="3"/>
        <v>147.97619999999998</v>
      </c>
      <c r="M19" s="105"/>
    </row>
    <row r="20" spans="1:13" s="3" customFormat="1" ht="27.95" x14ac:dyDescent="0.3">
      <c r="A20" s="113">
        <f t="shared" si="4"/>
        <v>5</v>
      </c>
      <c r="B20" s="22"/>
      <c r="C20" s="36" t="s">
        <v>56</v>
      </c>
      <c r="D20" s="21">
        <v>2.06</v>
      </c>
      <c r="E20" s="21" t="s">
        <v>36</v>
      </c>
      <c r="F20" s="54">
        <v>2.4900000000000002</v>
      </c>
      <c r="G20" s="54">
        <f t="shared" si="0"/>
        <v>5.1294000000000004</v>
      </c>
      <c r="H20" s="54">
        <v>29.38</v>
      </c>
      <c r="I20" s="54">
        <f t="shared" si="1"/>
        <v>60.522799999999997</v>
      </c>
      <c r="J20" s="54">
        <v>0</v>
      </c>
      <c r="K20" s="54">
        <f t="shared" si="2"/>
        <v>0</v>
      </c>
      <c r="L20" s="99">
        <f t="shared" si="3"/>
        <v>65.652199999999993</v>
      </c>
      <c r="M20" s="105"/>
    </row>
    <row r="21" spans="1:13" s="3" customFormat="1" ht="27.95" x14ac:dyDescent="0.3">
      <c r="A21" s="113">
        <f t="shared" si="4"/>
        <v>6</v>
      </c>
      <c r="B21" s="22"/>
      <c r="C21" s="36" t="s">
        <v>57</v>
      </c>
      <c r="D21" s="21">
        <v>10.8</v>
      </c>
      <c r="E21" s="21" t="s">
        <v>36</v>
      </c>
      <c r="F21" s="54">
        <v>2.4900000000000002</v>
      </c>
      <c r="G21" s="54">
        <f t="shared" si="0"/>
        <v>26.892000000000003</v>
      </c>
      <c r="H21" s="54">
        <v>24.58</v>
      </c>
      <c r="I21" s="54">
        <f t="shared" si="1"/>
        <v>265.464</v>
      </c>
      <c r="J21" s="54">
        <v>0</v>
      </c>
      <c r="K21" s="54">
        <f t="shared" si="2"/>
        <v>0</v>
      </c>
      <c r="L21" s="99">
        <f t="shared" si="3"/>
        <v>292.35599999999999</v>
      </c>
      <c r="M21" s="105"/>
    </row>
    <row r="22" spans="1:13" s="3" customFormat="1" ht="27.95" x14ac:dyDescent="0.3">
      <c r="A22" s="113">
        <f t="shared" si="4"/>
        <v>7</v>
      </c>
      <c r="B22" s="22"/>
      <c r="C22" s="36" t="s">
        <v>58</v>
      </c>
      <c r="D22" s="21">
        <v>13.64</v>
      </c>
      <c r="E22" s="21" t="s">
        <v>36</v>
      </c>
      <c r="F22" s="54">
        <v>2.56</v>
      </c>
      <c r="G22" s="54">
        <f t="shared" si="0"/>
        <v>34.918400000000005</v>
      </c>
      <c r="H22" s="54">
        <v>41.52</v>
      </c>
      <c r="I22" s="54">
        <f t="shared" si="1"/>
        <v>566.33280000000002</v>
      </c>
      <c r="J22" s="54">
        <v>0</v>
      </c>
      <c r="K22" s="54">
        <f t="shared" si="2"/>
        <v>0</v>
      </c>
      <c r="L22" s="99">
        <f t="shared" si="3"/>
        <v>601.25120000000004</v>
      </c>
      <c r="M22" s="105"/>
    </row>
    <row r="23" spans="1:13" s="3" customFormat="1" ht="27.95" x14ac:dyDescent="0.3">
      <c r="A23" s="113">
        <f t="shared" si="4"/>
        <v>8</v>
      </c>
      <c r="B23" s="22"/>
      <c r="C23" s="36" t="s">
        <v>59</v>
      </c>
      <c r="D23" s="21">
        <v>8.86</v>
      </c>
      <c r="E23" s="21" t="s">
        <v>36</v>
      </c>
      <c r="F23" s="54">
        <v>2.4900000000000002</v>
      </c>
      <c r="G23" s="54">
        <f t="shared" si="0"/>
        <v>22.061399999999999</v>
      </c>
      <c r="H23" s="54">
        <v>24.58</v>
      </c>
      <c r="I23" s="54">
        <f t="shared" si="1"/>
        <v>217.77879999999996</v>
      </c>
      <c r="J23" s="54">
        <v>0</v>
      </c>
      <c r="K23" s="54">
        <f t="shared" si="2"/>
        <v>0</v>
      </c>
      <c r="L23" s="99">
        <f t="shared" si="3"/>
        <v>239.84019999999995</v>
      </c>
      <c r="M23" s="105"/>
    </row>
    <row r="24" spans="1:13" s="3" customFormat="1" ht="28.5" x14ac:dyDescent="0.2">
      <c r="A24" s="113">
        <f t="shared" si="4"/>
        <v>9</v>
      </c>
      <c r="B24" s="22"/>
      <c r="C24" s="36" t="s">
        <v>60</v>
      </c>
      <c r="D24" s="21">
        <v>9.65</v>
      </c>
      <c r="E24" s="21" t="s">
        <v>36</v>
      </c>
      <c r="F24" s="54">
        <v>2.56</v>
      </c>
      <c r="G24" s="54">
        <f t="shared" si="0"/>
        <v>24.704000000000001</v>
      </c>
      <c r="H24" s="54">
        <v>41.52</v>
      </c>
      <c r="I24" s="54">
        <f t="shared" si="1"/>
        <v>400.66800000000006</v>
      </c>
      <c r="J24" s="54">
        <v>0</v>
      </c>
      <c r="K24" s="54">
        <f t="shared" si="2"/>
        <v>0</v>
      </c>
      <c r="L24" s="99">
        <f t="shared" si="3"/>
        <v>425.37200000000007</v>
      </c>
      <c r="M24" s="105"/>
    </row>
    <row r="25" spans="1:13" s="3" customFormat="1" ht="15" x14ac:dyDescent="0.2">
      <c r="A25" s="113">
        <f t="shared" si="4"/>
        <v>10</v>
      </c>
      <c r="B25" s="22"/>
      <c r="C25" s="36" t="s">
        <v>61</v>
      </c>
      <c r="D25" s="21">
        <v>15.96</v>
      </c>
      <c r="E25" s="21" t="s">
        <v>36</v>
      </c>
      <c r="F25" s="54">
        <v>2.14</v>
      </c>
      <c r="G25" s="54">
        <f t="shared" si="0"/>
        <v>34.154400000000003</v>
      </c>
      <c r="H25" s="54">
        <v>18.27</v>
      </c>
      <c r="I25" s="54">
        <f t="shared" si="1"/>
        <v>291.58920000000001</v>
      </c>
      <c r="J25" s="54">
        <v>0</v>
      </c>
      <c r="K25" s="54">
        <f t="shared" si="2"/>
        <v>0</v>
      </c>
      <c r="L25" s="99">
        <f t="shared" si="3"/>
        <v>325.74360000000001</v>
      </c>
      <c r="M25" s="105"/>
    </row>
    <row r="26" spans="1:13" s="3" customFormat="1" ht="15" x14ac:dyDescent="0.2">
      <c r="A26" s="113">
        <f t="shared" si="4"/>
        <v>11</v>
      </c>
      <c r="B26" s="22"/>
      <c r="C26" s="36" t="s">
        <v>62</v>
      </c>
      <c r="D26" s="21">
        <v>2.38</v>
      </c>
      <c r="E26" s="21" t="s">
        <v>36</v>
      </c>
      <c r="F26" s="54">
        <v>2.4900000000000002</v>
      </c>
      <c r="G26" s="54">
        <f t="shared" si="0"/>
        <v>5.9262000000000006</v>
      </c>
      <c r="H26" s="54">
        <v>24.58</v>
      </c>
      <c r="I26" s="54">
        <f t="shared" si="1"/>
        <v>58.500399999999992</v>
      </c>
      <c r="J26" s="54">
        <v>0</v>
      </c>
      <c r="K26" s="54">
        <f t="shared" si="2"/>
        <v>0</v>
      </c>
      <c r="L26" s="99">
        <f t="shared" si="3"/>
        <v>64.426599999999993</v>
      </c>
      <c r="M26" s="105"/>
    </row>
    <row r="27" spans="1:13" s="3" customFormat="1" ht="15" x14ac:dyDescent="0.2">
      <c r="A27" s="113">
        <f t="shared" si="4"/>
        <v>12</v>
      </c>
      <c r="B27" s="22"/>
      <c r="C27" s="36" t="s">
        <v>63</v>
      </c>
      <c r="D27" s="21">
        <v>2.36</v>
      </c>
      <c r="E27" s="21" t="s">
        <v>36</v>
      </c>
      <c r="F27" s="54">
        <v>2.4900000000000002</v>
      </c>
      <c r="G27" s="54">
        <f t="shared" si="0"/>
        <v>5.8764000000000003</v>
      </c>
      <c r="H27" s="54">
        <v>24.58</v>
      </c>
      <c r="I27" s="54">
        <f t="shared" si="1"/>
        <v>58.008799999999994</v>
      </c>
      <c r="J27" s="54">
        <v>0</v>
      </c>
      <c r="K27" s="54">
        <f t="shared" si="2"/>
        <v>0</v>
      </c>
      <c r="L27" s="99">
        <f t="shared" si="3"/>
        <v>63.885199999999998</v>
      </c>
      <c r="M27" s="105"/>
    </row>
    <row r="28" spans="1:13" s="3" customFormat="1" ht="28.5" x14ac:dyDescent="0.2">
      <c r="A28" s="113">
        <f t="shared" si="4"/>
        <v>13</v>
      </c>
      <c r="B28" s="22"/>
      <c r="C28" s="36" t="s">
        <v>64</v>
      </c>
      <c r="D28" s="21">
        <v>18</v>
      </c>
      <c r="E28" s="21" t="s">
        <v>28</v>
      </c>
      <c r="F28" s="54">
        <f>3.08*3</f>
        <v>9.24</v>
      </c>
      <c r="G28" s="54">
        <f t="shared" si="0"/>
        <v>166.32</v>
      </c>
      <c r="H28" s="54">
        <f>6.1*3</f>
        <v>18.299999999999997</v>
      </c>
      <c r="I28" s="54">
        <f t="shared" si="1"/>
        <v>329.4</v>
      </c>
      <c r="J28" s="54">
        <v>0</v>
      </c>
      <c r="K28" s="54">
        <f t="shared" si="2"/>
        <v>0</v>
      </c>
      <c r="L28" s="99">
        <f t="shared" si="3"/>
        <v>495.71999999999997</v>
      </c>
      <c r="M28" s="105"/>
    </row>
    <row r="29" spans="1:13" s="3" customFormat="1" ht="28.5" x14ac:dyDescent="0.2">
      <c r="A29" s="113">
        <f t="shared" si="4"/>
        <v>14</v>
      </c>
      <c r="B29" s="22"/>
      <c r="C29" s="36" t="s">
        <v>65</v>
      </c>
      <c r="D29" s="21">
        <v>12</v>
      </c>
      <c r="E29" s="21" t="s">
        <v>28</v>
      </c>
      <c r="F29" s="54">
        <f>3.08*4.63</f>
        <v>14.260400000000001</v>
      </c>
      <c r="G29" s="54">
        <f t="shared" si="0"/>
        <v>171.12479999999999</v>
      </c>
      <c r="H29" s="54">
        <f>6.1*4.63</f>
        <v>28.242999999999999</v>
      </c>
      <c r="I29" s="54">
        <f t="shared" si="1"/>
        <v>338.916</v>
      </c>
      <c r="J29" s="54">
        <v>0</v>
      </c>
      <c r="K29" s="54">
        <f t="shared" si="2"/>
        <v>0</v>
      </c>
      <c r="L29" s="99">
        <f t="shared" si="3"/>
        <v>510.04079999999999</v>
      </c>
      <c r="M29" s="105"/>
    </row>
    <row r="30" spans="1:13" s="3" customFormat="1" ht="15" x14ac:dyDescent="0.2">
      <c r="A30" s="113" t="str">
        <f t="shared" si="4"/>
        <v/>
      </c>
      <c r="B30" s="22"/>
      <c r="C30" s="47" t="s">
        <v>30</v>
      </c>
      <c r="D30" s="21"/>
      <c r="E30" s="21"/>
      <c r="F30" s="54"/>
      <c r="G30" s="54"/>
      <c r="H30" s="54"/>
      <c r="I30" s="54"/>
      <c r="J30" s="54"/>
      <c r="K30" s="54"/>
      <c r="L30" s="99"/>
      <c r="M30" s="105"/>
    </row>
    <row r="31" spans="1:13" ht="15" x14ac:dyDescent="0.2">
      <c r="A31" s="113">
        <f t="shared" si="4"/>
        <v>15</v>
      </c>
      <c r="B31" s="22"/>
      <c r="C31" s="36" t="s">
        <v>66</v>
      </c>
      <c r="D31" s="21">
        <v>208.86</v>
      </c>
      <c r="E31" s="21" t="s">
        <v>34</v>
      </c>
      <c r="F31" s="54">
        <v>10.43</v>
      </c>
      <c r="G31" s="54">
        <f t="shared" si="0"/>
        <v>2178.4097999999999</v>
      </c>
      <c r="H31" s="54">
        <v>52.34</v>
      </c>
      <c r="I31" s="54">
        <f t="shared" si="1"/>
        <v>10931.732400000001</v>
      </c>
      <c r="J31" s="54">
        <v>0</v>
      </c>
      <c r="K31" s="54">
        <f t="shared" si="2"/>
        <v>0</v>
      </c>
      <c r="L31" s="99">
        <f t="shared" ref="L31:L59" si="5">IF(D31="","",(G31+I31+K31))</f>
        <v>13110.1422</v>
      </c>
      <c r="M31" s="105"/>
    </row>
    <row r="32" spans="1:13" ht="15" x14ac:dyDescent="0.2">
      <c r="A32" s="113">
        <f t="shared" si="4"/>
        <v>16</v>
      </c>
      <c r="B32" s="22"/>
      <c r="C32" s="36" t="s">
        <v>67</v>
      </c>
      <c r="D32" s="21">
        <v>69.36</v>
      </c>
      <c r="E32" s="21" t="s">
        <v>34</v>
      </c>
      <c r="F32" s="54">
        <v>9.56</v>
      </c>
      <c r="G32" s="54">
        <f t="shared" si="0"/>
        <v>663.08159999999998</v>
      </c>
      <c r="H32" s="54">
        <v>50.46</v>
      </c>
      <c r="I32" s="54">
        <f t="shared" si="1"/>
        <v>3499.9056</v>
      </c>
      <c r="J32" s="54">
        <v>0</v>
      </c>
      <c r="K32" s="54">
        <f t="shared" si="2"/>
        <v>0</v>
      </c>
      <c r="L32" s="99">
        <f t="shared" si="5"/>
        <v>4162.9871999999996</v>
      </c>
      <c r="M32" s="105"/>
    </row>
    <row r="33" spans="1:13" ht="15" x14ac:dyDescent="0.2">
      <c r="A33" s="113">
        <f t="shared" si="4"/>
        <v>17</v>
      </c>
      <c r="B33" s="22"/>
      <c r="C33" s="36" t="s">
        <v>68</v>
      </c>
      <c r="D33" s="21">
        <v>278.22000000000003</v>
      </c>
      <c r="E33" s="21" t="s">
        <v>34</v>
      </c>
      <c r="F33" s="54">
        <v>8.7799999999999994</v>
      </c>
      <c r="G33" s="54">
        <f t="shared" si="0"/>
        <v>2442.7716</v>
      </c>
      <c r="H33" s="54">
        <v>15.46</v>
      </c>
      <c r="I33" s="54">
        <f t="shared" si="1"/>
        <v>4301.2812000000004</v>
      </c>
      <c r="J33" s="54">
        <v>0</v>
      </c>
      <c r="K33" s="54">
        <f t="shared" si="2"/>
        <v>0</v>
      </c>
      <c r="L33" s="99">
        <f t="shared" si="5"/>
        <v>6744.0528000000004</v>
      </c>
      <c r="M33" s="105"/>
    </row>
    <row r="34" spans="1:13" ht="28.5" x14ac:dyDescent="0.2">
      <c r="A34" s="113">
        <f t="shared" si="4"/>
        <v>18</v>
      </c>
      <c r="B34" s="22"/>
      <c r="C34" s="36" t="s">
        <v>69</v>
      </c>
      <c r="D34" s="21">
        <v>346</v>
      </c>
      <c r="E34" s="21" t="s">
        <v>36</v>
      </c>
      <c r="F34" s="54">
        <v>2.0699999999999998</v>
      </c>
      <c r="G34" s="54">
        <f t="shared" si="0"/>
        <v>716.21999999999991</v>
      </c>
      <c r="H34" s="54">
        <v>12.72</v>
      </c>
      <c r="I34" s="54">
        <f t="shared" si="1"/>
        <v>4401.12</v>
      </c>
      <c r="J34" s="54">
        <v>0</v>
      </c>
      <c r="K34" s="54">
        <f t="shared" si="2"/>
        <v>0</v>
      </c>
      <c r="L34" s="99">
        <f t="shared" si="5"/>
        <v>5117.34</v>
      </c>
      <c r="M34" s="105"/>
    </row>
    <row r="35" spans="1:13" ht="42.75" x14ac:dyDescent="0.2">
      <c r="A35" s="113">
        <f t="shared" si="4"/>
        <v>19</v>
      </c>
      <c r="B35" s="22"/>
      <c r="C35" s="36" t="s">
        <v>70</v>
      </c>
      <c r="D35" s="21">
        <v>368</v>
      </c>
      <c r="E35" s="21" t="s">
        <v>36</v>
      </c>
      <c r="F35" s="54">
        <v>2.0699999999999998</v>
      </c>
      <c r="G35" s="54">
        <f t="shared" si="0"/>
        <v>761.76</v>
      </c>
      <c r="H35" s="54">
        <v>12.72</v>
      </c>
      <c r="I35" s="54">
        <f t="shared" si="1"/>
        <v>4680.96</v>
      </c>
      <c r="J35" s="54">
        <v>0</v>
      </c>
      <c r="K35" s="54">
        <f t="shared" si="2"/>
        <v>0</v>
      </c>
      <c r="L35" s="99">
        <f t="shared" si="5"/>
        <v>5442.72</v>
      </c>
      <c r="M35" s="105"/>
    </row>
    <row r="36" spans="1:13" ht="28.5" x14ac:dyDescent="0.2">
      <c r="A36" s="113">
        <f t="shared" si="4"/>
        <v>20</v>
      </c>
      <c r="B36" s="22"/>
      <c r="C36" s="36" t="s">
        <v>71</v>
      </c>
      <c r="D36" s="21">
        <v>236.33</v>
      </c>
      <c r="E36" s="21" t="s">
        <v>34</v>
      </c>
      <c r="F36" s="54">
        <v>9.6</v>
      </c>
      <c r="G36" s="54">
        <f t="shared" si="0"/>
        <v>2268.768</v>
      </c>
      <c r="H36" s="54">
        <v>68.97</v>
      </c>
      <c r="I36" s="54">
        <f t="shared" si="1"/>
        <v>16299.680100000001</v>
      </c>
      <c r="J36" s="54">
        <v>0</v>
      </c>
      <c r="K36" s="54">
        <f t="shared" si="2"/>
        <v>0</v>
      </c>
      <c r="L36" s="99">
        <f t="shared" si="5"/>
        <v>18568.448100000001</v>
      </c>
      <c r="M36" s="105"/>
    </row>
    <row r="37" spans="1:13" ht="15" x14ac:dyDescent="0.2">
      <c r="A37" s="113" t="str">
        <f t="shared" si="4"/>
        <v/>
      </c>
      <c r="B37" s="22"/>
      <c r="C37" s="47" t="s">
        <v>72</v>
      </c>
      <c r="D37" s="21"/>
      <c r="E37" s="21"/>
      <c r="F37" s="54"/>
      <c r="G37" s="54"/>
      <c r="H37" s="54"/>
      <c r="I37" s="54"/>
      <c r="J37" s="54"/>
      <c r="K37" s="54"/>
      <c r="L37" s="99"/>
      <c r="M37" s="105"/>
    </row>
    <row r="38" spans="1:13" ht="42.75" x14ac:dyDescent="0.2">
      <c r="A38" s="113">
        <f t="shared" si="4"/>
        <v>21</v>
      </c>
      <c r="B38" s="22"/>
      <c r="C38" s="36" t="s">
        <v>73</v>
      </c>
      <c r="D38" s="21">
        <v>58.884</v>
      </c>
      <c r="E38" s="21" t="s">
        <v>34</v>
      </c>
      <c r="F38" s="54">
        <v>4.84</v>
      </c>
      <c r="G38" s="54">
        <f t="shared" si="0"/>
        <v>284.99856</v>
      </c>
      <c r="H38" s="54">
        <v>13.63</v>
      </c>
      <c r="I38" s="54">
        <f t="shared" si="1"/>
        <v>802.58892000000003</v>
      </c>
      <c r="J38" s="54">
        <v>0</v>
      </c>
      <c r="K38" s="54">
        <f t="shared" si="2"/>
        <v>0</v>
      </c>
      <c r="L38" s="99">
        <f t="shared" si="5"/>
        <v>1087.5874800000001</v>
      </c>
      <c r="M38" s="105"/>
    </row>
    <row r="39" spans="1:13" ht="42.75" x14ac:dyDescent="0.2">
      <c r="A39" s="113">
        <f t="shared" si="4"/>
        <v>22</v>
      </c>
      <c r="B39" s="22"/>
      <c r="C39" s="36" t="s">
        <v>74</v>
      </c>
      <c r="D39" s="21">
        <v>34.271999999999998</v>
      </c>
      <c r="E39" s="21" t="s">
        <v>34</v>
      </c>
      <c r="F39" s="54">
        <v>4.84</v>
      </c>
      <c r="G39" s="54">
        <f t="shared" si="0"/>
        <v>165.87647999999999</v>
      </c>
      <c r="H39" s="54">
        <v>13.63</v>
      </c>
      <c r="I39" s="54">
        <f t="shared" si="1"/>
        <v>467.12736000000001</v>
      </c>
      <c r="J39" s="54">
        <v>0</v>
      </c>
      <c r="K39" s="54">
        <f t="shared" si="2"/>
        <v>0</v>
      </c>
      <c r="L39" s="99">
        <f t="shared" si="5"/>
        <v>633.00383999999997</v>
      </c>
      <c r="M39" s="105"/>
    </row>
    <row r="40" spans="1:13" ht="42.75" x14ac:dyDescent="0.2">
      <c r="A40" s="113">
        <f t="shared" si="4"/>
        <v>23</v>
      </c>
      <c r="B40" s="22"/>
      <c r="C40" s="36" t="s">
        <v>73</v>
      </c>
      <c r="D40" s="21">
        <v>45.36</v>
      </c>
      <c r="E40" s="21" t="s">
        <v>34</v>
      </c>
      <c r="F40" s="54">
        <v>4.84</v>
      </c>
      <c r="G40" s="54">
        <f t="shared" si="0"/>
        <v>219.54239999999999</v>
      </c>
      <c r="H40" s="54">
        <v>13.63</v>
      </c>
      <c r="I40" s="54">
        <f t="shared" si="1"/>
        <v>618.2568</v>
      </c>
      <c r="J40" s="54">
        <v>0</v>
      </c>
      <c r="K40" s="54">
        <f t="shared" si="2"/>
        <v>0</v>
      </c>
      <c r="L40" s="99">
        <f t="shared" si="5"/>
        <v>837.79919999999993</v>
      </c>
      <c r="M40" s="105"/>
    </row>
    <row r="41" spans="1:13" s="3" customFormat="1" ht="15" x14ac:dyDescent="0.2">
      <c r="A41" s="113" t="str">
        <f t="shared" si="4"/>
        <v/>
      </c>
      <c r="B41" s="22"/>
      <c r="C41" s="47" t="s">
        <v>77</v>
      </c>
      <c r="D41" s="21"/>
      <c r="E41" s="21"/>
      <c r="F41" s="54"/>
      <c r="G41" s="54"/>
      <c r="H41" s="54"/>
      <c r="I41" s="54"/>
      <c r="J41" s="54"/>
      <c r="K41" s="54"/>
      <c r="L41" s="99"/>
      <c r="M41" s="105"/>
    </row>
    <row r="42" spans="1:13" ht="15" x14ac:dyDescent="0.2">
      <c r="A42" s="113" t="str">
        <f t="shared" si="4"/>
        <v/>
      </c>
      <c r="B42" s="22"/>
      <c r="C42" s="136" t="s">
        <v>78</v>
      </c>
      <c r="D42" s="21"/>
      <c r="E42" s="21"/>
      <c r="F42" s="54"/>
      <c r="G42" s="54"/>
      <c r="H42" s="54"/>
      <c r="I42" s="54"/>
      <c r="J42" s="54"/>
      <c r="K42" s="54"/>
      <c r="L42" s="99"/>
      <c r="M42" s="105"/>
    </row>
    <row r="43" spans="1:13" ht="15" x14ac:dyDescent="0.2">
      <c r="A43" s="113">
        <f t="shared" si="4"/>
        <v>24</v>
      </c>
      <c r="B43" s="22"/>
      <c r="C43" s="36" t="s">
        <v>79</v>
      </c>
      <c r="D43" s="21">
        <f>189*2.8</f>
        <v>529.19999999999993</v>
      </c>
      <c r="E43" s="21" t="s">
        <v>36</v>
      </c>
      <c r="F43" s="54">
        <v>3.08</v>
      </c>
      <c r="G43" s="54">
        <f t="shared" si="0"/>
        <v>1629.9359999999999</v>
      </c>
      <c r="H43" s="54">
        <v>6.1</v>
      </c>
      <c r="I43" s="54">
        <f t="shared" si="1"/>
        <v>3228.1199999999994</v>
      </c>
      <c r="J43" s="54">
        <v>0</v>
      </c>
      <c r="K43" s="54">
        <f t="shared" ref="K43:K59" si="6">D43*J43</f>
        <v>0</v>
      </c>
      <c r="L43" s="99">
        <f t="shared" si="5"/>
        <v>4858.0559999999996</v>
      </c>
      <c r="M43" s="105"/>
    </row>
    <row r="44" spans="1:13" ht="15" x14ac:dyDescent="0.2">
      <c r="A44" s="113">
        <f t="shared" si="4"/>
        <v>25</v>
      </c>
      <c r="B44" s="22"/>
      <c r="C44" s="36" t="s">
        <v>80</v>
      </c>
      <c r="D44" s="21">
        <v>253</v>
      </c>
      <c r="E44" s="21" t="s">
        <v>36</v>
      </c>
      <c r="F44" s="54">
        <v>2.5299999999999998</v>
      </c>
      <c r="G44" s="54">
        <f t="shared" si="0"/>
        <v>640.08999999999992</v>
      </c>
      <c r="H44" s="54">
        <v>6.14</v>
      </c>
      <c r="I44" s="54">
        <f t="shared" si="1"/>
        <v>1553.4199999999998</v>
      </c>
      <c r="J44" s="54">
        <v>0</v>
      </c>
      <c r="K44" s="54">
        <f t="shared" si="6"/>
        <v>0</v>
      </c>
      <c r="L44" s="99">
        <f t="shared" si="5"/>
        <v>2193.5099999999998</v>
      </c>
      <c r="M44" s="105"/>
    </row>
    <row r="45" spans="1:13" ht="15" x14ac:dyDescent="0.2">
      <c r="A45" s="113" t="str">
        <f t="shared" si="4"/>
        <v/>
      </c>
      <c r="B45" s="22"/>
      <c r="C45" s="136" t="s">
        <v>82</v>
      </c>
      <c r="D45" s="21"/>
      <c r="E45" s="21"/>
      <c r="F45" s="54"/>
      <c r="G45" s="54"/>
      <c r="H45" s="54"/>
      <c r="I45" s="54"/>
      <c r="J45" s="54"/>
      <c r="K45" s="54"/>
      <c r="L45" s="99"/>
      <c r="M45" s="105"/>
    </row>
    <row r="46" spans="1:13" ht="15" x14ac:dyDescent="0.2">
      <c r="A46" s="113">
        <f t="shared" si="4"/>
        <v>26</v>
      </c>
      <c r="B46" s="22"/>
      <c r="C46" s="36" t="s">
        <v>79</v>
      </c>
      <c r="D46" s="21">
        <f>7*2.8</f>
        <v>19.599999999999998</v>
      </c>
      <c r="E46" s="21" t="s">
        <v>36</v>
      </c>
      <c r="F46" s="54">
        <v>3.08</v>
      </c>
      <c r="G46" s="54">
        <f t="shared" si="0"/>
        <v>60.367999999999995</v>
      </c>
      <c r="H46" s="54">
        <v>6.1</v>
      </c>
      <c r="I46" s="54">
        <f t="shared" si="1"/>
        <v>119.55999999999997</v>
      </c>
      <c r="J46" s="54">
        <v>0</v>
      </c>
      <c r="K46" s="54">
        <f t="shared" si="6"/>
        <v>0</v>
      </c>
      <c r="L46" s="99">
        <f t="shared" si="5"/>
        <v>179.92799999999997</v>
      </c>
      <c r="M46" s="105"/>
    </row>
    <row r="47" spans="1:13" ht="15" x14ac:dyDescent="0.2">
      <c r="A47" s="113">
        <f t="shared" si="4"/>
        <v>27</v>
      </c>
      <c r="B47" s="22"/>
      <c r="C47" s="36" t="s">
        <v>83</v>
      </c>
      <c r="D47" s="21">
        <f>66*3.4</f>
        <v>224.4</v>
      </c>
      <c r="E47" s="21" t="s">
        <v>36</v>
      </c>
      <c r="F47" s="54">
        <v>3.08</v>
      </c>
      <c r="G47" s="54">
        <f t="shared" si="0"/>
        <v>691.15200000000004</v>
      </c>
      <c r="H47" s="54">
        <v>6.1</v>
      </c>
      <c r="I47" s="54">
        <f t="shared" si="1"/>
        <v>1368.84</v>
      </c>
      <c r="J47" s="54">
        <v>0</v>
      </c>
      <c r="K47" s="54">
        <f t="shared" si="6"/>
        <v>0</v>
      </c>
      <c r="L47" s="99">
        <f t="shared" si="5"/>
        <v>2059.9920000000002</v>
      </c>
      <c r="M47" s="105"/>
    </row>
    <row r="48" spans="1:13" ht="15" x14ac:dyDescent="0.2">
      <c r="A48" s="113">
        <f t="shared" si="4"/>
        <v>28</v>
      </c>
      <c r="B48" s="22"/>
      <c r="C48" s="36" t="s">
        <v>84</v>
      </c>
      <c r="D48" s="21">
        <f>21*4.29</f>
        <v>90.09</v>
      </c>
      <c r="E48" s="21" t="s">
        <v>36</v>
      </c>
      <c r="F48" s="54">
        <v>3.08</v>
      </c>
      <c r="G48" s="54">
        <f t="shared" si="0"/>
        <v>277.47720000000004</v>
      </c>
      <c r="H48" s="54">
        <v>6.1</v>
      </c>
      <c r="I48" s="54">
        <f t="shared" si="1"/>
        <v>549.54899999999998</v>
      </c>
      <c r="J48" s="54">
        <v>0</v>
      </c>
      <c r="K48" s="54">
        <f t="shared" si="6"/>
        <v>0</v>
      </c>
      <c r="L48" s="99">
        <f t="shared" si="5"/>
        <v>827.02620000000002</v>
      </c>
      <c r="M48" s="105"/>
    </row>
    <row r="49" spans="1:13" ht="15" x14ac:dyDescent="0.2">
      <c r="A49" s="113">
        <f t="shared" si="4"/>
        <v>29</v>
      </c>
      <c r="B49" s="22"/>
      <c r="C49" s="36" t="s">
        <v>85</v>
      </c>
      <c r="D49" s="21">
        <f>10*4.5</f>
        <v>45</v>
      </c>
      <c r="E49" s="21" t="s">
        <v>36</v>
      </c>
      <c r="F49" s="54">
        <v>3.08</v>
      </c>
      <c r="G49" s="54">
        <f t="shared" si="0"/>
        <v>138.6</v>
      </c>
      <c r="H49" s="54">
        <v>6.1</v>
      </c>
      <c r="I49" s="54">
        <f t="shared" si="1"/>
        <v>274.5</v>
      </c>
      <c r="J49" s="54">
        <v>0</v>
      </c>
      <c r="K49" s="54">
        <f t="shared" si="6"/>
        <v>0</v>
      </c>
      <c r="L49" s="99">
        <f t="shared" si="5"/>
        <v>413.1</v>
      </c>
      <c r="M49" s="105"/>
    </row>
    <row r="50" spans="1:13" ht="15" x14ac:dyDescent="0.2">
      <c r="A50" s="113">
        <f t="shared" si="4"/>
        <v>30</v>
      </c>
      <c r="B50" s="22"/>
      <c r="C50" s="36" t="s">
        <v>80</v>
      </c>
      <c r="D50" s="21">
        <v>137</v>
      </c>
      <c r="E50" s="21" t="s">
        <v>36</v>
      </c>
      <c r="F50" s="54">
        <v>2.5299999999999998</v>
      </c>
      <c r="G50" s="54">
        <f t="shared" si="0"/>
        <v>346.60999999999996</v>
      </c>
      <c r="H50" s="54">
        <v>6.14</v>
      </c>
      <c r="I50" s="54">
        <f t="shared" si="1"/>
        <v>841.18</v>
      </c>
      <c r="J50" s="54">
        <v>0</v>
      </c>
      <c r="K50" s="54">
        <f t="shared" si="6"/>
        <v>0</v>
      </c>
      <c r="L50" s="99">
        <f t="shared" si="5"/>
        <v>1187.79</v>
      </c>
      <c r="M50" s="105"/>
    </row>
    <row r="51" spans="1:13" ht="15" x14ac:dyDescent="0.2">
      <c r="A51" s="113" t="str">
        <f t="shared" si="4"/>
        <v/>
      </c>
      <c r="B51" s="22"/>
      <c r="C51" s="136" t="s">
        <v>81</v>
      </c>
      <c r="D51" s="21"/>
      <c r="E51" s="21"/>
      <c r="F51" s="54"/>
      <c r="G51" s="54"/>
      <c r="H51" s="54"/>
      <c r="I51" s="54"/>
      <c r="J51" s="54"/>
      <c r="K51" s="54"/>
      <c r="L51" s="99"/>
      <c r="M51" s="105"/>
    </row>
    <row r="52" spans="1:13" ht="15" x14ac:dyDescent="0.2">
      <c r="A52" s="113">
        <f t="shared" si="4"/>
        <v>31</v>
      </c>
      <c r="B52" s="22"/>
      <c r="C52" s="36" t="s">
        <v>86</v>
      </c>
      <c r="D52" s="21">
        <f>57*2.6</f>
        <v>148.20000000000002</v>
      </c>
      <c r="E52" s="21" t="s">
        <v>36</v>
      </c>
      <c r="F52" s="54">
        <v>3.08</v>
      </c>
      <c r="G52" s="54">
        <f t="shared" si="0"/>
        <v>456.45600000000007</v>
      </c>
      <c r="H52" s="54">
        <v>6.1</v>
      </c>
      <c r="I52" s="54">
        <f t="shared" si="1"/>
        <v>904.0200000000001</v>
      </c>
      <c r="J52" s="54">
        <v>0</v>
      </c>
      <c r="K52" s="54">
        <f t="shared" si="6"/>
        <v>0</v>
      </c>
      <c r="L52" s="99">
        <f t="shared" si="5"/>
        <v>1360.4760000000001</v>
      </c>
      <c r="M52" s="105"/>
    </row>
    <row r="53" spans="1:13" ht="15" x14ac:dyDescent="0.2">
      <c r="A53" s="113">
        <f t="shared" si="4"/>
        <v>32</v>
      </c>
      <c r="B53" s="22"/>
      <c r="C53" s="36" t="s">
        <v>87</v>
      </c>
      <c r="D53" s="21">
        <f>38*2.96</f>
        <v>112.48</v>
      </c>
      <c r="E53" s="21" t="s">
        <v>36</v>
      </c>
      <c r="F53" s="54">
        <v>3.08</v>
      </c>
      <c r="G53" s="54">
        <f t="shared" si="0"/>
        <v>346.4384</v>
      </c>
      <c r="H53" s="54">
        <v>6.1</v>
      </c>
      <c r="I53" s="54">
        <f t="shared" si="1"/>
        <v>686.12799999999993</v>
      </c>
      <c r="J53" s="54">
        <v>0</v>
      </c>
      <c r="K53" s="54">
        <f t="shared" si="6"/>
        <v>0</v>
      </c>
      <c r="L53" s="99">
        <f t="shared" si="5"/>
        <v>1032.5663999999999</v>
      </c>
      <c r="M53" s="105"/>
    </row>
    <row r="54" spans="1:13" ht="15" x14ac:dyDescent="0.2">
      <c r="A54" s="113">
        <f t="shared" si="4"/>
        <v>33</v>
      </c>
      <c r="B54" s="22"/>
      <c r="C54" s="36" t="s">
        <v>88</v>
      </c>
      <c r="D54" s="21">
        <f>58*3</f>
        <v>174</v>
      </c>
      <c r="E54" s="21" t="s">
        <v>36</v>
      </c>
      <c r="F54" s="54">
        <v>3.08</v>
      </c>
      <c r="G54" s="54">
        <f t="shared" si="0"/>
        <v>535.91999999999996</v>
      </c>
      <c r="H54" s="54">
        <v>6.1</v>
      </c>
      <c r="I54" s="54">
        <f t="shared" si="1"/>
        <v>1061.3999999999999</v>
      </c>
      <c r="J54" s="54">
        <v>0</v>
      </c>
      <c r="K54" s="54">
        <f t="shared" si="6"/>
        <v>0</v>
      </c>
      <c r="L54" s="99">
        <f t="shared" si="5"/>
        <v>1597.3199999999997</v>
      </c>
      <c r="M54" s="105"/>
    </row>
    <row r="55" spans="1:13" ht="15" x14ac:dyDescent="0.2">
      <c r="A55" s="113">
        <f t="shared" si="4"/>
        <v>34</v>
      </c>
      <c r="B55" s="22"/>
      <c r="C55" s="36" t="s">
        <v>89</v>
      </c>
      <c r="D55" s="21">
        <f>18*3.57</f>
        <v>64.259999999999991</v>
      </c>
      <c r="E55" s="21" t="s">
        <v>36</v>
      </c>
      <c r="F55" s="54">
        <v>3.08</v>
      </c>
      <c r="G55" s="54">
        <f t="shared" si="0"/>
        <v>197.92079999999999</v>
      </c>
      <c r="H55" s="54">
        <v>6.1</v>
      </c>
      <c r="I55" s="54">
        <f t="shared" si="1"/>
        <v>391.98599999999993</v>
      </c>
      <c r="J55" s="54">
        <v>0</v>
      </c>
      <c r="K55" s="54">
        <f t="shared" si="6"/>
        <v>0</v>
      </c>
      <c r="L55" s="99">
        <f t="shared" si="5"/>
        <v>589.90679999999998</v>
      </c>
      <c r="M55" s="105"/>
    </row>
    <row r="56" spans="1:13" ht="15" x14ac:dyDescent="0.2">
      <c r="A56" s="113">
        <f t="shared" si="4"/>
        <v>35</v>
      </c>
      <c r="B56" s="22"/>
      <c r="C56" s="36" t="s">
        <v>85</v>
      </c>
      <c r="D56" s="21">
        <f>17*4.5</f>
        <v>76.5</v>
      </c>
      <c r="E56" s="21" t="s">
        <v>36</v>
      </c>
      <c r="F56" s="54">
        <v>3.08</v>
      </c>
      <c r="G56" s="54">
        <f t="shared" si="0"/>
        <v>235.62</v>
      </c>
      <c r="H56" s="54">
        <v>6.1</v>
      </c>
      <c r="I56" s="54">
        <f t="shared" si="1"/>
        <v>466.65</v>
      </c>
      <c r="J56" s="54">
        <v>0</v>
      </c>
      <c r="K56" s="54">
        <f t="shared" si="6"/>
        <v>0</v>
      </c>
      <c r="L56" s="99">
        <f t="shared" si="5"/>
        <v>702.27</v>
      </c>
      <c r="M56" s="105"/>
    </row>
    <row r="57" spans="1:13" ht="15" x14ac:dyDescent="0.2">
      <c r="A57" s="113">
        <f t="shared" si="4"/>
        <v>36</v>
      </c>
      <c r="B57" s="22"/>
      <c r="C57" s="36" t="s">
        <v>90</v>
      </c>
      <c r="D57" s="21">
        <f>8*4.83</f>
        <v>38.64</v>
      </c>
      <c r="E57" s="21" t="s">
        <v>36</v>
      </c>
      <c r="F57" s="54">
        <v>3.08</v>
      </c>
      <c r="G57" s="54">
        <f t="shared" si="0"/>
        <v>119.0112</v>
      </c>
      <c r="H57" s="54">
        <v>6.1</v>
      </c>
      <c r="I57" s="54">
        <f t="shared" si="1"/>
        <v>235.70399999999998</v>
      </c>
      <c r="J57" s="54">
        <v>0</v>
      </c>
      <c r="K57" s="54">
        <f t="shared" si="6"/>
        <v>0</v>
      </c>
      <c r="L57" s="99">
        <f t="shared" si="5"/>
        <v>354.71519999999998</v>
      </c>
      <c r="M57" s="105"/>
    </row>
    <row r="58" spans="1:13" ht="15" x14ac:dyDescent="0.2">
      <c r="A58" s="113">
        <f t="shared" si="4"/>
        <v>37</v>
      </c>
      <c r="B58" s="22"/>
      <c r="C58" s="36" t="s">
        <v>80</v>
      </c>
      <c r="D58" s="21">
        <v>254</v>
      </c>
      <c r="E58" s="21" t="s">
        <v>36</v>
      </c>
      <c r="F58" s="54">
        <v>2.5299999999999998</v>
      </c>
      <c r="G58" s="54">
        <f t="shared" si="0"/>
        <v>642.62</v>
      </c>
      <c r="H58" s="54">
        <v>6.14</v>
      </c>
      <c r="I58" s="54">
        <f t="shared" si="1"/>
        <v>1559.56</v>
      </c>
      <c r="J58" s="54">
        <v>0</v>
      </c>
      <c r="K58" s="54">
        <f t="shared" si="6"/>
        <v>0</v>
      </c>
      <c r="L58" s="99">
        <f t="shared" si="5"/>
        <v>2202.1799999999998</v>
      </c>
      <c r="M58" s="105"/>
    </row>
    <row r="59" spans="1:13" ht="15" x14ac:dyDescent="0.2">
      <c r="A59" s="113">
        <f t="shared" si="4"/>
        <v>38</v>
      </c>
      <c r="B59" s="22"/>
      <c r="C59" s="36" t="s">
        <v>91</v>
      </c>
      <c r="D59" s="21">
        <v>258.37</v>
      </c>
      <c r="E59" s="21" t="s">
        <v>34</v>
      </c>
      <c r="F59" s="54">
        <v>9.67</v>
      </c>
      <c r="G59" s="54">
        <f t="shared" si="0"/>
        <v>2498.4378999999999</v>
      </c>
      <c r="H59" s="54">
        <v>18.350000000000001</v>
      </c>
      <c r="I59" s="54">
        <f t="shared" si="1"/>
        <v>4741.0895</v>
      </c>
      <c r="J59" s="54">
        <v>0</v>
      </c>
      <c r="K59" s="54">
        <f t="shared" si="6"/>
        <v>0</v>
      </c>
      <c r="L59" s="99">
        <f t="shared" si="5"/>
        <v>7239.5273999999999</v>
      </c>
      <c r="M59" s="105"/>
    </row>
    <row r="60" spans="1:13" s="3" customFormat="1" ht="15" x14ac:dyDescent="0.2">
      <c r="A60" s="113" t="str">
        <f t="shared" si="4"/>
        <v/>
      </c>
      <c r="B60" s="22"/>
      <c r="C60" s="47" t="s">
        <v>31</v>
      </c>
      <c r="D60" s="21"/>
      <c r="E60" s="21"/>
      <c r="F60" s="54"/>
      <c r="G60" s="54"/>
      <c r="H60" s="54"/>
      <c r="I60" s="54"/>
      <c r="J60" s="54"/>
      <c r="K60" s="54"/>
      <c r="L60" s="99"/>
      <c r="M60" s="105"/>
    </row>
    <row r="61" spans="1:13" ht="42.75" x14ac:dyDescent="0.2">
      <c r="A61" s="113">
        <f t="shared" si="4"/>
        <v>39</v>
      </c>
      <c r="B61" s="22"/>
      <c r="C61" s="36" t="s">
        <v>75</v>
      </c>
      <c r="D61" s="21">
        <v>4</v>
      </c>
      <c r="E61" s="21" t="s">
        <v>76</v>
      </c>
      <c r="F61" s="54">
        <v>614.70000000000005</v>
      </c>
      <c r="G61" s="54">
        <f>D61*F61</f>
        <v>2458.8000000000002</v>
      </c>
      <c r="H61" s="54">
        <v>1691.52</v>
      </c>
      <c r="I61" s="54">
        <f>D61*H61</f>
        <v>6766.08</v>
      </c>
      <c r="J61" s="54">
        <v>0</v>
      </c>
      <c r="K61" s="54">
        <f>D61*J61</f>
        <v>0</v>
      </c>
      <c r="L61" s="99">
        <f>IF(D61="","",(G61+I61+K61))</f>
        <v>9224.880000000001</v>
      </c>
      <c r="M61" s="105"/>
    </row>
    <row r="62" spans="1:13" s="3" customFormat="1" ht="18" customHeight="1" x14ac:dyDescent="0.2">
      <c r="A62" s="64" t="str">
        <f>IF(E62=0,"",1+MAX(#REF!))</f>
        <v/>
      </c>
      <c r="B62" s="106"/>
      <c r="C62" s="107"/>
      <c r="D62" s="108"/>
      <c r="E62" s="108"/>
      <c r="F62" s="108"/>
      <c r="G62" s="108"/>
      <c r="H62" s="108"/>
      <c r="I62" s="108"/>
      <c r="J62" s="108"/>
      <c r="K62" s="108" t="s">
        <v>9</v>
      </c>
      <c r="L62" s="78">
        <f>SUM(L15:L61)</f>
        <v>95573.496220000001</v>
      </c>
      <c r="M62" s="109"/>
    </row>
    <row r="63" spans="1:13" ht="18" customHeight="1" x14ac:dyDescent="0.2">
      <c r="A63" s="147"/>
      <c r="B63" s="148"/>
      <c r="C63" s="148"/>
      <c r="D63" s="148"/>
      <c r="E63" s="148"/>
      <c r="F63" s="148"/>
      <c r="G63" s="148"/>
      <c r="H63" s="148"/>
      <c r="I63" s="148"/>
      <c r="J63" s="88"/>
      <c r="K63" s="88"/>
      <c r="L63" s="79"/>
      <c r="M63" s="111"/>
    </row>
    <row r="64" spans="1:13" s="60" customFormat="1" ht="20.100000000000001" customHeight="1" x14ac:dyDescent="0.2">
      <c r="A64" s="151" t="s">
        <v>40</v>
      </c>
      <c r="B64" s="152"/>
      <c r="C64" s="152"/>
      <c r="D64" s="152"/>
      <c r="E64" s="152"/>
      <c r="F64" s="152"/>
      <c r="G64" s="152"/>
      <c r="H64" s="152"/>
      <c r="I64" s="152"/>
      <c r="J64" s="153"/>
      <c r="K64" s="63"/>
      <c r="L64" s="101">
        <f>SUM(L11:L63)/2</f>
        <v>156454.65622000003</v>
      </c>
      <c r="M64" s="116"/>
    </row>
    <row r="65" spans="1:13" s="60" customFormat="1" ht="20.100000000000001" customHeight="1" x14ac:dyDescent="0.2">
      <c r="A65" s="151" t="s">
        <v>41</v>
      </c>
      <c r="B65" s="152"/>
      <c r="C65" s="152"/>
      <c r="D65" s="152"/>
      <c r="E65" s="152"/>
      <c r="F65" s="152"/>
      <c r="G65" s="152"/>
      <c r="H65" s="152"/>
      <c r="I65" s="152"/>
      <c r="J65" s="153"/>
      <c r="K65" s="63">
        <v>0.15</v>
      </c>
      <c r="L65" s="137">
        <f>$L$64*K65</f>
        <v>23468.198433000005</v>
      </c>
      <c r="M65" s="116"/>
    </row>
    <row r="66" spans="1:13" s="60" customFormat="1" ht="20.100000000000001" customHeight="1" x14ac:dyDescent="0.2">
      <c r="A66" s="154" t="s">
        <v>42</v>
      </c>
      <c r="B66" s="155"/>
      <c r="C66" s="155"/>
      <c r="D66" s="155"/>
      <c r="E66" s="155"/>
      <c r="F66" s="155"/>
      <c r="G66" s="155"/>
      <c r="H66" s="155"/>
      <c r="I66" s="155"/>
      <c r="J66" s="156"/>
      <c r="K66" s="129"/>
      <c r="L66" s="130">
        <f>L64+L65</f>
        <v>179922.85465300005</v>
      </c>
      <c r="M66" s="131"/>
    </row>
    <row r="67" spans="1:13" s="60" customFormat="1" ht="20.100000000000001" customHeight="1" x14ac:dyDescent="0.2">
      <c r="A67" s="151" t="s">
        <v>43</v>
      </c>
      <c r="B67" s="152"/>
      <c r="C67" s="152"/>
      <c r="D67" s="152"/>
      <c r="E67" s="152"/>
      <c r="F67" s="152"/>
      <c r="G67" s="152"/>
      <c r="H67" s="152"/>
      <c r="I67" s="152"/>
      <c r="J67" s="153"/>
      <c r="K67" s="63">
        <v>0.1</v>
      </c>
      <c r="L67" s="137">
        <f>L66*K67</f>
        <v>17992.285465300007</v>
      </c>
      <c r="M67" s="116"/>
    </row>
    <row r="68" spans="1:13" s="3" customFormat="1" ht="20.100000000000001" customHeight="1" x14ac:dyDescent="0.2">
      <c r="A68" s="149" t="s">
        <v>44</v>
      </c>
      <c r="B68" s="150"/>
      <c r="C68" s="150"/>
      <c r="D68" s="150"/>
      <c r="E68" s="150"/>
      <c r="F68" s="150"/>
      <c r="G68" s="150"/>
      <c r="H68" s="150"/>
      <c r="I68" s="150"/>
      <c r="J68" s="65"/>
      <c r="K68" s="65"/>
      <c r="L68" s="127">
        <f>L66+L67</f>
        <v>197915.14011830004</v>
      </c>
      <c r="M68" s="66"/>
    </row>
    <row r="69" spans="1:13" ht="20.100000000000001" customHeight="1" x14ac:dyDescent="0.2">
      <c r="A69" s="45" t="s">
        <v>18</v>
      </c>
      <c r="B69" s="110"/>
      <c r="C69" s="81"/>
      <c r="D69" s="117"/>
      <c r="E69" s="81"/>
      <c r="F69" s="81"/>
      <c r="G69" s="81"/>
      <c r="H69" s="81"/>
      <c r="I69" s="81"/>
      <c r="J69" s="81"/>
      <c r="K69" s="81"/>
      <c r="L69" s="128"/>
      <c r="M69" s="24"/>
    </row>
    <row r="70" spans="1:13" ht="30" customHeight="1" x14ac:dyDescent="0.2">
      <c r="A70" s="44"/>
      <c r="B70" s="145" t="s">
        <v>37</v>
      </c>
      <c r="C70" s="145"/>
      <c r="D70" s="145"/>
      <c r="E70" s="145"/>
      <c r="F70" s="145"/>
      <c r="G70" s="145"/>
      <c r="H70" s="145"/>
      <c r="I70" s="145"/>
      <c r="J70" s="145"/>
      <c r="K70" s="145"/>
      <c r="L70" s="82"/>
      <c r="M70" s="35"/>
    </row>
    <row r="71" spans="1:13" ht="20.100000000000001" customHeight="1" x14ac:dyDescent="0.2">
      <c r="A71" s="44"/>
      <c r="B71" s="118"/>
      <c r="C71" s="119"/>
      <c r="D71" s="120"/>
      <c r="E71" s="81"/>
      <c r="F71" s="81"/>
      <c r="G71" s="81"/>
      <c r="H71" s="81"/>
      <c r="I71" s="81"/>
      <c r="J71" s="81"/>
      <c r="K71" s="81"/>
      <c r="L71" s="81"/>
      <c r="M71" s="24"/>
    </row>
    <row r="72" spans="1:13" ht="20.100000000000001" customHeight="1" x14ac:dyDescent="0.2">
      <c r="A72" s="44"/>
      <c r="B72" s="91"/>
      <c r="C72" s="121" t="s">
        <v>20</v>
      </c>
      <c r="D72" s="91"/>
      <c r="E72" s="91"/>
      <c r="F72" s="91"/>
      <c r="G72" s="91"/>
      <c r="H72" s="91"/>
      <c r="I72" s="121" t="s">
        <v>21</v>
      </c>
      <c r="J72" s="117"/>
      <c r="K72" s="81"/>
      <c r="L72" s="81"/>
      <c r="M72" s="24"/>
    </row>
    <row r="73" spans="1:13" ht="19.7" customHeight="1" x14ac:dyDescent="0.2">
      <c r="A73" s="46"/>
      <c r="B73" s="91">
        <v>1</v>
      </c>
      <c r="C73" s="122" t="s">
        <v>22</v>
      </c>
      <c r="D73" s="91"/>
      <c r="E73" s="91"/>
      <c r="F73" s="91"/>
      <c r="G73" s="91"/>
      <c r="H73" s="91"/>
      <c r="I73" s="123" t="s">
        <v>48</v>
      </c>
      <c r="J73" s="117"/>
      <c r="K73" s="81"/>
      <c r="L73" s="82"/>
      <c r="M73" s="35"/>
    </row>
    <row r="74" spans="1:13" ht="20.100000000000001" customHeight="1" x14ac:dyDescent="0.2">
      <c r="A74" s="44"/>
      <c r="B74" s="91"/>
      <c r="C74" s="123"/>
      <c r="D74" s="123"/>
      <c r="E74" s="91"/>
      <c r="F74" s="91"/>
      <c r="G74" s="91"/>
      <c r="H74" s="91"/>
      <c r="I74" s="123" t="s">
        <v>49</v>
      </c>
      <c r="J74" s="117"/>
      <c r="K74" s="81"/>
      <c r="L74" s="82"/>
      <c r="M74" s="35"/>
    </row>
    <row r="75" spans="1:13" ht="20.100000000000001" customHeight="1" x14ac:dyDescent="0.2">
      <c r="A75" s="44"/>
      <c r="B75" s="91"/>
      <c r="C75" s="91"/>
      <c r="D75" s="120"/>
      <c r="E75" s="91"/>
      <c r="F75" s="91"/>
      <c r="G75" s="91"/>
      <c r="H75" s="91"/>
      <c r="I75" s="123" t="s">
        <v>46</v>
      </c>
      <c r="J75" s="124"/>
      <c r="K75" s="81"/>
      <c r="L75" s="81"/>
      <c r="M75" s="24"/>
    </row>
    <row r="76" spans="1:13" ht="20.100000000000001" customHeight="1" x14ac:dyDescent="0.2">
      <c r="A76" s="44"/>
      <c r="B76" s="91"/>
      <c r="C76" s="125"/>
      <c r="D76" s="120"/>
      <c r="E76" s="91"/>
      <c r="F76" s="91"/>
      <c r="G76" s="91"/>
      <c r="H76" s="91"/>
      <c r="I76" s="123" t="s">
        <v>23</v>
      </c>
      <c r="J76" s="126"/>
      <c r="K76" s="81"/>
      <c r="L76" s="81"/>
      <c r="M76" s="24"/>
    </row>
    <row r="77" spans="1:13" ht="20.100000000000001" customHeight="1" x14ac:dyDescent="0.2">
      <c r="A77" s="44"/>
      <c r="B77" s="91"/>
      <c r="C77" s="91"/>
      <c r="D77" s="120"/>
      <c r="E77" s="91"/>
      <c r="F77" s="91"/>
      <c r="G77" s="91"/>
      <c r="H77" s="91"/>
      <c r="I77" s="123" t="s">
        <v>50</v>
      </c>
      <c r="J77" s="126"/>
      <c r="K77" s="81"/>
      <c r="L77" s="82"/>
      <c r="M77" s="35"/>
    </row>
    <row r="78" spans="1:13" ht="20.100000000000001" customHeight="1" x14ac:dyDescent="0.2">
      <c r="A78" s="44"/>
      <c r="B78" s="91"/>
      <c r="C78" s="119"/>
      <c r="D78" s="120"/>
      <c r="E78" s="91"/>
      <c r="F78" s="81"/>
      <c r="G78" s="81"/>
      <c r="H78" s="81"/>
      <c r="I78" s="123" t="s">
        <v>24</v>
      </c>
      <c r="J78" s="126"/>
      <c r="K78" s="81"/>
      <c r="L78" s="82"/>
      <c r="M78" s="35"/>
    </row>
    <row r="79" spans="1:13" ht="20.100000000000001" customHeight="1" x14ac:dyDescent="0.2">
      <c r="A79" s="44"/>
      <c r="B79" s="91"/>
      <c r="C79" s="119"/>
      <c r="D79" s="120"/>
      <c r="E79" s="91"/>
      <c r="F79" s="81"/>
      <c r="G79" s="81"/>
      <c r="H79" s="81"/>
      <c r="I79" s="123" t="s">
        <v>25</v>
      </c>
      <c r="J79" s="126"/>
      <c r="K79" s="81"/>
      <c r="L79" s="81"/>
      <c r="M79" s="24"/>
    </row>
    <row r="80" spans="1:13" ht="20.100000000000001" customHeight="1" x14ac:dyDescent="0.2">
      <c r="A80" s="44"/>
      <c r="B80" s="91"/>
      <c r="C80" s="119"/>
      <c r="D80" s="120"/>
      <c r="E80" s="91"/>
      <c r="F80" s="81"/>
      <c r="G80" s="81"/>
      <c r="H80" s="81"/>
      <c r="J80" s="126"/>
      <c r="K80" s="81"/>
      <c r="L80" s="81"/>
      <c r="M80" s="24"/>
    </row>
    <row r="81" spans="1:13" ht="15.75" customHeight="1" x14ac:dyDescent="0.2">
      <c r="A81" s="44"/>
      <c r="B81" s="118"/>
      <c r="C81" s="119"/>
      <c r="D81" s="120"/>
      <c r="E81" s="81"/>
      <c r="F81" s="81"/>
      <c r="G81" s="81"/>
      <c r="H81" s="81"/>
      <c r="I81" s="81"/>
      <c r="J81" s="81"/>
      <c r="K81" s="81"/>
      <c r="L81" s="82"/>
      <c r="M81" s="35"/>
    </row>
    <row r="82" spans="1:13" ht="15.75" customHeight="1" thickBot="1" x14ac:dyDescent="0.25">
      <c r="A82" s="10"/>
      <c r="B82" s="11"/>
      <c r="C82" s="25"/>
      <c r="D82" s="26"/>
      <c r="E82" s="25"/>
      <c r="F82" s="25"/>
      <c r="G82" s="25"/>
      <c r="H82" s="25"/>
      <c r="I82" s="25"/>
      <c r="J82" s="25"/>
      <c r="K82" s="25"/>
      <c r="L82" s="81"/>
      <c r="M82" s="27"/>
    </row>
  </sheetData>
  <mergeCells count="21">
    <mergeCell ref="B70:K70"/>
    <mergeCell ref="G8:H8"/>
    <mergeCell ref="I5:J5"/>
    <mergeCell ref="I6:J6"/>
    <mergeCell ref="I8:J8"/>
    <mergeCell ref="I7:J7"/>
    <mergeCell ref="A63:I63"/>
    <mergeCell ref="A68:I68"/>
    <mergeCell ref="A64:J64"/>
    <mergeCell ref="A65:J65"/>
    <mergeCell ref="A66:J66"/>
    <mergeCell ref="A67:J67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2026-02-13T14:59:00Z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