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730" windowHeight="879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TAKE-OFF'!$F$1:$F$77</definedName>
    <definedName name="_xlnm.Print_Area" localSheetId="1">'MATERIAL TAKE-OFF'!$A$2:$O$77</definedName>
    <definedName name="_xlnm.Print_Area" localSheetId="0">SUMMARY!$A$1:$J$18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H44" i="1" l="1"/>
  <c r="H49" i="1"/>
  <c r="I44" i="1"/>
  <c r="H39" i="1"/>
  <c r="J49" i="1"/>
  <c r="I49" i="1"/>
  <c r="J44" i="1"/>
  <c r="J39" i="1"/>
  <c r="K39" i="1" s="1"/>
  <c r="I39" i="1"/>
  <c r="J28" i="1"/>
  <c r="H28" i="1"/>
  <c r="I28" i="1" s="1"/>
  <c r="J23" i="1"/>
  <c r="K23" i="1" s="1"/>
  <c r="H23" i="1"/>
  <c r="I23" i="1"/>
  <c r="J18" i="1"/>
  <c r="H18" i="1"/>
  <c r="I52" i="1"/>
  <c r="I51" i="1"/>
  <c r="I50" i="1"/>
  <c r="I47" i="1"/>
  <c r="I46" i="1"/>
  <c r="I45" i="1"/>
  <c r="I42" i="1"/>
  <c r="I41" i="1"/>
  <c r="I40" i="1"/>
  <c r="I31" i="1"/>
  <c r="I30" i="1"/>
  <c r="I29" i="1"/>
  <c r="I26" i="1"/>
  <c r="I25" i="1"/>
  <c r="I24" i="1"/>
  <c r="I35" i="1"/>
  <c r="I36" i="1"/>
  <c r="I34" i="1"/>
  <c r="A18" i="1" l="1"/>
  <c r="A20" i="1" s="1"/>
  <c r="A19" i="1"/>
  <c r="A33" i="1"/>
  <c r="A37" i="1"/>
  <c r="A53" i="1"/>
  <c r="A21" i="1" l="1"/>
  <c r="A57" i="1"/>
  <c r="G54" i="1"/>
  <c r="M56" i="1"/>
  <c r="G56" i="1"/>
  <c r="K56" i="1" s="1"/>
  <c r="M34" i="1"/>
  <c r="G34" i="1"/>
  <c r="M54" i="1"/>
  <c r="M55" i="1"/>
  <c r="G55" i="1"/>
  <c r="M52" i="1"/>
  <c r="D52" i="1"/>
  <c r="G52" i="1" s="1"/>
  <c r="K52" i="1" s="1"/>
  <c r="M51" i="1"/>
  <c r="D51" i="1"/>
  <c r="G51" i="1" s="1"/>
  <c r="M50" i="1"/>
  <c r="D50" i="1"/>
  <c r="G50" i="1" s="1"/>
  <c r="M49" i="1"/>
  <c r="D49" i="1"/>
  <c r="G49" i="1" s="1"/>
  <c r="G48" i="1"/>
  <c r="M47" i="1"/>
  <c r="D47" i="1"/>
  <c r="G47" i="1" s="1"/>
  <c r="M46" i="1"/>
  <c r="D46" i="1"/>
  <c r="G46" i="1" s="1"/>
  <c r="M45" i="1"/>
  <c r="D45" i="1"/>
  <c r="G45" i="1" s="1"/>
  <c r="M44" i="1"/>
  <c r="D44" i="1"/>
  <c r="G44" i="1" s="1"/>
  <c r="K44" i="1" s="1"/>
  <c r="G43" i="1"/>
  <c r="M42" i="1"/>
  <c r="D42" i="1"/>
  <c r="G42" i="1" s="1"/>
  <c r="M41" i="1"/>
  <c r="D41" i="1"/>
  <c r="G41" i="1" s="1"/>
  <c r="M40" i="1"/>
  <c r="D40" i="1"/>
  <c r="G40" i="1" s="1"/>
  <c r="M39" i="1"/>
  <c r="D39" i="1"/>
  <c r="G39" i="1" s="1"/>
  <c r="G38" i="1"/>
  <c r="G27" i="1"/>
  <c r="G22" i="1"/>
  <c r="G17" i="1"/>
  <c r="G32" i="1"/>
  <c r="M32" i="1"/>
  <c r="M31" i="1"/>
  <c r="D31" i="1"/>
  <c r="G31" i="1" s="1"/>
  <c r="M30" i="1"/>
  <c r="D30" i="1"/>
  <c r="G30" i="1" s="1"/>
  <c r="M29" i="1"/>
  <c r="D29" i="1"/>
  <c r="G29" i="1" s="1"/>
  <c r="K29" i="1" s="1"/>
  <c r="M28" i="1"/>
  <c r="D28" i="1"/>
  <c r="G28" i="1" s="1"/>
  <c r="M26" i="1"/>
  <c r="D26" i="1"/>
  <c r="G26" i="1" s="1"/>
  <c r="M25" i="1"/>
  <c r="D25" i="1"/>
  <c r="G25" i="1" s="1"/>
  <c r="M24" i="1"/>
  <c r="D24" i="1"/>
  <c r="G24" i="1" s="1"/>
  <c r="M23" i="1"/>
  <c r="D23" i="1"/>
  <c r="G23" i="1" s="1"/>
  <c r="D18" i="1"/>
  <c r="G18" i="1" s="1"/>
  <c r="I18" i="1" s="1"/>
  <c r="D21" i="1"/>
  <c r="D20" i="1"/>
  <c r="D19" i="1"/>
  <c r="A22" i="1" l="1"/>
  <c r="K34" i="1"/>
  <c r="I56" i="1"/>
  <c r="N34" i="1"/>
  <c r="I54" i="1"/>
  <c r="K54" i="1"/>
  <c r="I55" i="1"/>
  <c r="K55" i="1"/>
  <c r="K50" i="1"/>
  <c r="K47" i="1"/>
  <c r="K51" i="1"/>
  <c r="K46" i="1"/>
  <c r="K45" i="1"/>
  <c r="K49" i="1"/>
  <c r="N49" i="1"/>
  <c r="N52" i="1"/>
  <c r="N44" i="1"/>
  <c r="K40" i="1"/>
  <c r="K41" i="1"/>
  <c r="K42" i="1"/>
  <c r="K32" i="1"/>
  <c r="I32" i="1"/>
  <c r="N32" i="1" s="1"/>
  <c r="K31" i="1"/>
  <c r="N31" i="1" s="1"/>
  <c r="K30" i="1"/>
  <c r="K28" i="1"/>
  <c r="N29" i="1"/>
  <c r="K25" i="1"/>
  <c r="K24" i="1"/>
  <c r="K26" i="1"/>
  <c r="A23" i="1" l="1"/>
  <c r="A24" i="1" s="1"/>
  <c r="N28" i="1"/>
  <c r="N54" i="1"/>
  <c r="N45" i="1"/>
  <c r="N46" i="1"/>
  <c r="N56" i="1"/>
  <c r="N40" i="1"/>
  <c r="N55" i="1"/>
  <c r="N42" i="1"/>
  <c r="N47" i="1"/>
  <c r="N30" i="1"/>
  <c r="N41" i="1"/>
  <c r="N51" i="1"/>
  <c r="N24" i="1"/>
  <c r="N39" i="1"/>
  <c r="N50" i="1"/>
  <c r="N26" i="1"/>
  <c r="N23" i="1"/>
  <c r="N25" i="1"/>
  <c r="A25" i="1" l="1"/>
  <c r="A26" i="1"/>
  <c r="M18" i="1"/>
  <c r="K18" i="1"/>
  <c r="M19" i="1"/>
  <c r="G19" i="1"/>
  <c r="K19" i="1" s="1"/>
  <c r="M20" i="1"/>
  <c r="G20" i="1"/>
  <c r="K20" i="1" s="1"/>
  <c r="M21" i="1"/>
  <c r="G21" i="1"/>
  <c r="M36" i="1"/>
  <c r="G36" i="1"/>
  <c r="K36" i="1" s="1"/>
  <c r="M35" i="1"/>
  <c r="G35" i="1"/>
  <c r="K35" i="1" s="1"/>
  <c r="A15" i="1"/>
  <c r="A16" i="1"/>
  <c r="A27" i="1" l="1"/>
  <c r="N35" i="1"/>
  <c r="N18" i="1"/>
  <c r="I19" i="1"/>
  <c r="N19" i="1" s="1"/>
  <c r="I20" i="1"/>
  <c r="N20" i="1" s="1"/>
  <c r="K21" i="1"/>
  <c r="I21" i="1"/>
  <c r="N36" i="1"/>
  <c r="A28" i="1" l="1"/>
  <c r="N21" i="1"/>
  <c r="N57" i="1" s="1"/>
  <c r="C12" i="3" s="1"/>
  <c r="A29" i="1" l="1"/>
  <c r="A31" i="1" s="1"/>
  <c r="A30" i="1"/>
  <c r="M12" i="1"/>
  <c r="K12" i="1"/>
  <c r="I12" i="1"/>
  <c r="A32" i="1" l="1"/>
  <c r="A34" i="1" l="1"/>
  <c r="A35" i="1" s="1"/>
  <c r="N13" i="1"/>
  <c r="C11" i="3" s="1"/>
  <c r="N59" i="1"/>
  <c r="N60" i="1" s="1"/>
  <c r="N61" i="1" s="1"/>
  <c r="N62" i="1" s="1"/>
  <c r="N63" i="1" s="1"/>
  <c r="A13" i="1"/>
  <c r="A17" i="1" s="1"/>
  <c r="A36" i="1" l="1"/>
  <c r="D11" i="3"/>
  <c r="C13" i="3"/>
  <c r="A38" i="1" l="1"/>
  <c r="B3" i="1"/>
  <c r="A40" i="1" l="1"/>
  <c r="A39" i="1"/>
  <c r="D12" i="3"/>
  <c r="C15" i="3"/>
  <c r="C16" i="3" l="1"/>
  <c r="D15" i="3"/>
  <c r="A41" i="1"/>
  <c r="D13" i="3"/>
  <c r="C17" i="3" l="1"/>
  <c r="D16" i="3"/>
  <c r="A42" i="1"/>
  <c r="C18" i="3" l="1"/>
  <c r="D17" i="3"/>
  <c r="D18" i="3" s="1"/>
  <c r="A43" i="1"/>
  <c r="A44" i="1" l="1"/>
  <c r="A45" i="1" l="1"/>
  <c r="A47" i="1" l="1"/>
  <c r="A46" i="1"/>
  <c r="A48" i="1"/>
  <c r="A49" i="1" s="1"/>
  <c r="A50" i="1" l="1"/>
  <c r="A51" i="1" l="1"/>
  <c r="A52" i="1" l="1"/>
  <c r="A54" i="1" s="1"/>
  <c r="A55" i="1" l="1"/>
  <c r="A56" i="1"/>
</calcChain>
</file>

<file path=xl/sharedStrings.xml><?xml version="1.0" encoding="utf-8"?>
<sst xmlns="http://schemas.openxmlformats.org/spreadsheetml/2006/main" count="148" uniqueCount="75">
  <si>
    <t>DESCRIPTION</t>
  </si>
  <si>
    <t>QUANTITY</t>
  </si>
  <si>
    <t>UNIT</t>
  </si>
  <si>
    <t>LS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</si>
  <si>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</si>
  <si>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</si>
  <si>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</si>
  <si>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</si>
  <si>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</si>
  <si>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</si>
  <si>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</si>
  <si>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</si>
  <si>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</si>
  <si>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</si>
  <si>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</si>
  <si>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</si>
  <si>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</si>
  <si>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</si>
  <si>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</si>
  <si>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</si>
  <si>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</si>
  <si>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</si>
  <si>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</si>
  <si>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</si>
  <si>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</si>
  <si>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</si>
  <si>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</si>
  <si>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EA</t>
  </si>
  <si>
    <t>01. OVERHEAD AND PREMLIMINARIES</t>
  </si>
  <si>
    <t>Overhead and Preliminaries</t>
  </si>
  <si>
    <t>M2</t>
  </si>
  <si>
    <t>M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</si>
  <si>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</si>
  <si>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</si>
  <si>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</si>
  <si>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</si>
  <si>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</si>
  <si>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</si>
  <si>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</si>
  <si>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</si>
  <si>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</si>
  <si>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</si>
  <si>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</si>
  <si>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</si>
  <si>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</si>
  <si>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Misc. Items</t>
  </si>
  <si>
    <t>02. PLASTERING</t>
  </si>
  <si>
    <t>WASTAGE</t>
  </si>
  <si>
    <t>QTY W/ WASTAGE</t>
  </si>
  <si>
    <t>KGS</t>
  </si>
  <si>
    <t>1.2x2.4 No of  Sheets</t>
  </si>
  <si>
    <t>Plaster board Screws</t>
  </si>
  <si>
    <t>Tape Joints</t>
  </si>
  <si>
    <t>Mudding</t>
  </si>
  <si>
    <t>Wall Plaster Lining</t>
  </si>
  <si>
    <t>Beads to Skirtings</t>
  </si>
  <si>
    <t>P50 Beads to Doors</t>
  </si>
  <si>
    <t>13mm Plasterboard</t>
  </si>
  <si>
    <t>10mm Water Resistant Plasterboard</t>
  </si>
  <si>
    <t>Sealants</t>
  </si>
  <si>
    <t>13mm Plasterboard Ceiling</t>
  </si>
  <si>
    <t>Plasterboard Ceilings</t>
  </si>
  <si>
    <t>10mm Water Resistant Plasterboard Ceiling</t>
  </si>
  <si>
    <t>P50/Beads to Ceilings</t>
  </si>
  <si>
    <t>L-Bead / Casing Bead (Stopping Angle for raw edges)</t>
  </si>
  <si>
    <t>PLASTERING</t>
  </si>
  <si>
    <t>Plastering</t>
  </si>
  <si>
    <t>TOTAL DIV. COST (PER SM)</t>
  </si>
  <si>
    <t>Building GSM</t>
  </si>
  <si>
    <t>13mm Fyrchek Plasterboard</t>
  </si>
  <si>
    <t>13mm Fyrchek Plasterboard Ceiling</t>
  </si>
  <si>
    <r>
      <t xml:space="preserve">Overhead and Preliminaries </t>
    </r>
    <r>
      <rPr>
        <b/>
        <sz val="11"/>
        <color theme="1"/>
        <rFont val="Arial"/>
        <family val="2"/>
      </rPr>
      <t>(239 M2)</t>
    </r>
  </si>
  <si>
    <t>A2.1</t>
  </si>
  <si>
    <t>Standard Cove Cornice (90mm)</t>
  </si>
  <si>
    <r>
      <t xml:space="preserve">Square Set Finish 
</t>
    </r>
    <r>
      <rPr>
        <b/>
        <sz val="11"/>
        <color rgb="FFFF0000"/>
        <rFont val="Arial"/>
        <family val="2"/>
      </rPr>
      <t>(Labor Only)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</si>
</sst>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_-&quot;$&quot;* #,##0.00_-;\-&quot;$&quot;* #,##0.00_-;_-&quot;$&quot;* &quot;-&quot;??_-;_-@_-"/>
  </numFmts>
  <fonts count="29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sz val="11"/>
      <color rgb="FF000000"/>
      <name val="Calibri"/>
      <charset val="134"/>
    </font>
    <font>
      <sz val="11"/>
      <color rgb="FF000000"/>
      <name val="Calibri"/>
      <family val="2"/>
    </font>
    <font>
      <sz val="12"/>
      <color rgb="FF000000"/>
      <name val="Tw Cen MT"/>
      <family val="2"/>
      <scheme val="minor"/>
    </font>
    <font>
      <u/>
      <sz val="11"/>
      <color theme="10"/>
      <name val="Calibri"/>
      <charset val="134"/>
    </font>
    <font>
      <b/>
      <sz val="11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CC"/>
      </patternFill>
    </fill>
    <fill>
      <patternFill patternType="solid">
        <fgColor theme="3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  <xf numFmtId="9" fontId="3" fillId="0" borderId="0" applyFont="0" applyFill="0" applyBorder="0" applyAlignment="0" applyProtection="0"/>
    <xf numFmtId="0" fontId="24" fillId="0" borderId="0"/>
    <xf numFmtId="0" fontId="3" fillId="0" borderId="0"/>
    <xf numFmtId="0" fontId="3" fillId="0" borderId="0"/>
    <xf numFmtId="0" fontId="25" fillId="0" borderId="0">
      <protection locked="0"/>
    </xf>
    <xf numFmtId="9" fontId="24" fillId="0" borderId="0" applyFont="0" applyFill="0" applyBorder="0" applyAlignment="0" applyProtection="0"/>
    <xf numFmtId="0" fontId="24" fillId="12" borderId="34" applyNumberFormat="0" applyFont="0" applyAlignment="0" applyProtection="0"/>
    <xf numFmtId="0" fontId="26" fillId="0" borderId="0"/>
    <xf numFmtId="0" fontId="4" fillId="0" borderId="0"/>
    <xf numFmtId="0" fontId="27" fillId="0" borderId="0" applyNumberFormat="0" applyFill="0" applyBorder="0" applyAlignment="0" applyProtection="0"/>
    <xf numFmtId="43" fontId="24" fillId="0" borderId="0" applyFont="0" applyFill="0" applyBorder="0" applyAlignment="0" applyProtection="0"/>
    <xf numFmtId="169" fontId="24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157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6" fillId="0" borderId="6" xfId="0" applyFont="1" applyBorder="1" applyAlignment="1">
      <alignment horizontal="right" vertical="center"/>
    </xf>
    <xf numFmtId="0" fontId="19" fillId="0" borderId="6" xfId="0" applyFont="1" applyBorder="1"/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6" fontId="7" fillId="8" borderId="21" xfId="0" applyNumberFormat="1" applyFont="1" applyFill="1" applyBorder="1"/>
    <xf numFmtId="164" fontId="7" fillId="8" borderId="22" xfId="0" applyNumberFormat="1" applyFont="1" applyFill="1" applyBorder="1"/>
    <xf numFmtId="16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1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5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6" fontId="9" fillId="10" borderId="19" xfId="2" applyNumberFormat="1" applyFont="1" applyFill="1" applyBorder="1" applyAlignment="1">
      <alignment vertical="center"/>
    </xf>
    <xf numFmtId="166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6" fontId="22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168" fontId="9" fillId="10" borderId="0" xfId="0" applyNumberFormat="1" applyFont="1" applyFill="1" applyBorder="1" applyAlignment="1">
      <alignment vertical="center"/>
    </xf>
    <xf numFmtId="165" fontId="7" fillId="0" borderId="0" xfId="0" applyNumberFormat="1" applyFont="1" applyBorder="1" applyAlignment="1">
      <alignment horizontal="right" vertical="center"/>
    </xf>
    <xf numFmtId="0" fontId="8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Continuous" vertical="center"/>
    </xf>
    <xf numFmtId="168" fontId="2" fillId="0" borderId="0" xfId="0" applyNumberFormat="1" applyFont="1" applyBorder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8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7" fontId="21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8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Border="1" applyAlignment="1">
      <alignment horizontal="center" vertical="center"/>
    </xf>
    <xf numFmtId="0" fontId="9" fillId="10" borderId="0" xfId="0" applyFont="1" applyFill="1" applyBorder="1" applyAlignment="1">
      <alignment horizontal="left" vertical="center"/>
    </xf>
    <xf numFmtId="0" fontId="9" fillId="10" borderId="0" xfId="0" applyFont="1" applyFill="1" applyBorder="1" applyAlignment="1">
      <alignment vertical="center"/>
    </xf>
    <xf numFmtId="168" fontId="9" fillId="10" borderId="11" xfId="0" applyNumberFormat="1" applyFont="1" applyFill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8" fillId="3" borderId="0" xfId="0" applyNumberFormat="1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167" fontId="21" fillId="9" borderId="1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centerContinuous" vertical="center"/>
    </xf>
    <xf numFmtId="0" fontId="15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19" fillId="0" borderId="0" xfId="0" applyFont="1" applyBorder="1"/>
    <xf numFmtId="0" fontId="19" fillId="0" borderId="0" xfId="0" applyFont="1" applyBorder="1" applyAlignment="1">
      <alignment horizontal="left" vertical="center"/>
    </xf>
    <xf numFmtId="0" fontId="7" fillId="0" borderId="0" xfId="0" applyFont="1" applyBorder="1"/>
    <xf numFmtId="0" fontId="20" fillId="0" borderId="0" xfId="0" applyFont="1" applyBorder="1" applyAlignment="1">
      <alignment vertical="center"/>
    </xf>
    <xf numFmtId="0" fontId="7" fillId="3" borderId="0" xfId="0" applyFont="1" applyFill="1" applyBorder="1" applyAlignment="1">
      <alignment horizontal="center" vertical="center"/>
    </xf>
    <xf numFmtId="165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3" fillId="11" borderId="5" xfId="0" applyNumberFormat="1" applyFont="1" applyFill="1" applyBorder="1" applyAlignment="1">
      <alignment horizontal="center" vertical="center"/>
    </xf>
    <xf numFmtId="167" fontId="23" fillId="11" borderId="28" xfId="0" applyNumberFormat="1" applyFont="1" applyFill="1" applyBorder="1" applyAlignment="1">
      <alignment horizontal="center" vertical="center"/>
    </xf>
    <xf numFmtId="167" fontId="21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6" fontId="7" fillId="11" borderId="9" xfId="2" applyNumberFormat="1" applyFont="1" applyFill="1" applyBorder="1" applyAlignment="1">
      <alignment horizontal="center" vertical="center"/>
    </xf>
    <xf numFmtId="9" fontId="7" fillId="0" borderId="1" xfId="6" applyFont="1" applyBorder="1" applyAlignment="1">
      <alignment horizontal="center" vertical="center"/>
    </xf>
    <xf numFmtId="39" fontId="2" fillId="0" borderId="1" xfId="4" applyFont="1" applyBorder="1" applyAlignment="1">
      <alignment horizontal="right" vertical="center" wrapText="1"/>
    </xf>
    <xf numFmtId="39" fontId="9" fillId="13" borderId="1" xfId="4" applyFont="1" applyFill="1" applyBorder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164" fontId="22" fillId="9" borderId="9" xfId="18" applyFont="1" applyFill="1" applyBorder="1" applyAlignment="1">
      <alignment horizontal="center" vertical="center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165" fontId="14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 wrapText="1"/>
    </xf>
    <xf numFmtId="167" fontId="14" fillId="0" borderId="0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1" fillId="9" borderId="12" xfId="0" applyFont="1" applyFill="1" applyBorder="1" applyAlignment="1">
      <alignment horizontal="right" vertical="center"/>
    </xf>
    <xf numFmtId="0" fontId="21" fillId="9" borderId="4" xfId="0" applyFont="1" applyFill="1" applyBorder="1" applyAlignment="1">
      <alignment horizontal="right" vertical="center"/>
    </xf>
    <xf numFmtId="0" fontId="21" fillId="9" borderId="26" xfId="0" applyFont="1" applyFill="1" applyBorder="1" applyAlignment="1">
      <alignment horizontal="right" vertical="center"/>
    </xf>
    <xf numFmtId="0" fontId="23" fillId="11" borderId="12" xfId="0" applyFont="1" applyFill="1" applyBorder="1" applyAlignment="1">
      <alignment horizontal="right" vertical="center"/>
    </xf>
    <xf numFmtId="0" fontId="23" fillId="11" borderId="4" xfId="0" applyFont="1" applyFill="1" applyBorder="1" applyAlignment="1">
      <alignment horizontal="right" vertical="center"/>
    </xf>
    <xf numFmtId="0" fontId="23" fillId="11" borderId="26" xfId="0" applyFont="1" applyFill="1" applyBorder="1" applyAlignment="1">
      <alignment horizontal="right" vertical="center"/>
    </xf>
    <xf numFmtId="0" fontId="10" fillId="9" borderId="1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</cellXfs>
  <cellStyles count="19">
    <cellStyle name="Accent1" xfId="3" builtinId="29"/>
    <cellStyle name="Comma 2" xfId="16"/>
    <cellStyle name="Currency" xfId="18" builtinId="4"/>
    <cellStyle name="Currency 2" xfId="2"/>
    <cellStyle name="Currency 3" xfId="17"/>
    <cellStyle name="Hyperlink 2" xfId="15"/>
    <cellStyle name="Normal" xfId="0" builtinId="0"/>
    <cellStyle name="Normal 13" xfId="13"/>
    <cellStyle name="Normal 2" xfId="8"/>
    <cellStyle name="Normal 2 3" xfId="14"/>
    <cellStyle name="Normal 3" xfId="9"/>
    <cellStyle name="Normal 4" xfId="10"/>
    <cellStyle name="Normal 5" xfId="7"/>
    <cellStyle name="Note 2" xfId="12"/>
    <cellStyle name="Percent" xfId="6" builtinId="5"/>
    <cellStyle name="Percent 2" xfId="11"/>
    <cellStyle name="Style 1" xfId="1"/>
    <cellStyle name="takeoffs body style" xfId="4"/>
    <cellStyle name="takeoffs body style 2" xfId="5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Plastering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2236.7999999999997</c:v>
                </c:pt>
                <c:pt idx="1">
                  <c:v>37280.150000000016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8525696"/>
        <c:axId val="198527232"/>
        <c:axId val="0"/>
      </c:bar3DChart>
      <c:catAx>
        <c:axId val="198525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527232"/>
        <c:crosses val="autoZero"/>
        <c:auto val="1"/>
        <c:lblAlgn val="ctr"/>
        <c:lblOffset val="100"/>
        <c:noMultiLvlLbl val="0"/>
      </c:catAx>
      <c:valAx>
        <c:axId val="198527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525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9</xdr:col>
      <xdr:colOff>653142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722982</xdr:colOff>
      <xdr:row>0</xdr:row>
      <xdr:rowOff>172139</xdr:rowOff>
    </xdr:from>
    <xdr:to>
      <xdr:col>3</xdr:col>
      <xdr:colOff>1249877</xdr:colOff>
      <xdr:row>6</xdr:row>
      <xdr:rowOff>152246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8A95C7D7-25E2-4ABF-AB79-E5FF95444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4518" y="172139"/>
          <a:ext cx="1870572" cy="10736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1953228</xdr:colOff>
      <xdr:row>1</xdr:row>
      <xdr:rowOff>36757</xdr:rowOff>
    </xdr:from>
    <xdr:to>
      <xdr:col>14</xdr:col>
      <xdr:colOff>3647285</xdr:colOff>
      <xdr:row>8</xdr:row>
      <xdr:rowOff>106294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50633" y="36757"/>
          <a:ext cx="1695014" cy="1458306"/>
        </a:xfrm>
        <a:prstGeom prst="rect">
          <a:avLst/>
        </a:prstGeom>
      </xdr:spPr>
    </xdr:pic>
    <xdr:clientData/>
  </xdr:twoCellAnchor>
  <xdr:twoCellAnchor editAs="oneCell">
    <xdr:from>
      <xdr:col>14</xdr:col>
      <xdr:colOff>1106065</xdr:colOff>
      <xdr:row>1</xdr:row>
      <xdr:rowOff>97042</xdr:rowOff>
    </xdr:from>
    <xdr:to>
      <xdr:col>14</xdr:col>
      <xdr:colOff>3571704</xdr:colOff>
      <xdr:row>8</xdr:row>
      <xdr:rowOff>48232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4B98ABE7-9E46-4D75-94FB-FF9CB8E3E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03470" y="97042"/>
          <a:ext cx="2462514" cy="1352016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3366CC"/>
    <pageSetUpPr fitToPage="1"/>
  </sheetPr>
  <dimension ref="A1:E18"/>
  <sheetViews>
    <sheetView view="pageBreakPreview" zoomScale="70" zoomScaleNormal="100" zoomScaleSheetLayoutView="70" workbookViewId="0">
      <selection activeCell="B1" sqref="B1"/>
    </sheetView>
  </sheetViews>
  <sheetFormatPr defaultColWidth="9" defaultRowHeight="14.25"/>
  <cols>
    <col min="1" max="1" width="23.625" style="26" customWidth="1"/>
    <col min="2" max="2" width="44.875" style="26" customWidth="1"/>
    <col min="3" max="4" width="17.625" style="30" customWidth="1"/>
    <col min="5" max="5" width="9" style="26"/>
    <col min="6" max="7" width="14.375" style="26" customWidth="1"/>
    <col min="8" max="10" width="9" style="26"/>
    <col min="11" max="12" width="15.625" style="26" customWidth="1"/>
    <col min="13" max="16384" width="9" style="26"/>
  </cols>
  <sheetData>
    <row r="1" spans="1:5" ht="15">
      <c r="A1" s="36"/>
      <c r="B1" s="31"/>
      <c r="C1" s="46"/>
      <c r="D1" s="37"/>
    </row>
    <row r="2" spans="1:5" ht="15">
      <c r="A2" s="18" t="s">
        <v>20</v>
      </c>
      <c r="B2" s="17"/>
      <c r="C2" s="47"/>
      <c r="D2" s="9"/>
    </row>
    <row r="3" spans="1:5" ht="15">
      <c r="A3" s="18"/>
      <c r="B3" s="17"/>
      <c r="C3" s="47"/>
      <c r="D3" s="9"/>
    </row>
    <row r="4" spans="1:5" ht="15">
      <c r="A4" s="18" t="s">
        <v>15</v>
      </c>
      <c r="B4" s="17"/>
      <c r="C4" s="47"/>
      <c r="D4" s="9"/>
    </row>
    <row r="5" spans="1:5" ht="15">
      <c r="A5" s="18"/>
      <c r="B5" s="17"/>
      <c r="C5" s="47"/>
      <c r="D5" s="9"/>
    </row>
    <row r="6" spans="1:5" ht="15">
      <c r="A6" s="18" t="s">
        <v>14</v>
      </c>
      <c r="B6" s="17">
        <v>2</v>
      </c>
      <c r="C6" s="47"/>
      <c r="D6" s="9"/>
    </row>
    <row r="7" spans="1:5" ht="15">
      <c r="A7" s="18"/>
      <c r="B7" s="49"/>
      <c r="C7" s="47"/>
      <c r="D7" s="9"/>
    </row>
    <row r="8" spans="1:5" ht="15">
      <c r="A8" s="18" t="s">
        <v>68</v>
      </c>
      <c r="B8" s="17"/>
      <c r="C8" s="47"/>
      <c r="D8" s="9"/>
    </row>
    <row r="9" spans="1:5" ht="15.75" thickBot="1">
      <c r="A9" s="18"/>
      <c r="B9" s="38"/>
      <c r="C9" s="48"/>
      <c r="D9" s="39"/>
    </row>
    <row r="10" spans="1:5" s="27" customFormat="1" ht="30.75" thickBot="1">
      <c r="A10" s="64" t="s">
        <v>6</v>
      </c>
      <c r="B10" s="65" t="s">
        <v>0</v>
      </c>
      <c r="C10" s="65" t="s">
        <v>7</v>
      </c>
      <c r="D10" s="66" t="s">
        <v>67</v>
      </c>
      <c r="E10" s="67"/>
    </row>
    <row r="11" spans="1:5" ht="15">
      <c r="A11" s="52">
        <v>1000</v>
      </c>
      <c r="B11" s="53" t="s">
        <v>29</v>
      </c>
      <c r="C11" s="54">
        <f>'MATERIAL TAKE-OFF'!N13</f>
        <v>2236.7999999999997</v>
      </c>
      <c r="D11" s="55" t="e">
        <f>C11/$B$8</f>
        <v>#DIV/0!</v>
      </c>
    </row>
    <row r="12" spans="1:5" ht="15">
      <c r="A12" s="40">
        <v>2000</v>
      </c>
      <c r="B12" s="35" t="s">
        <v>66</v>
      </c>
      <c r="C12" s="45">
        <f>'MATERIAL TAKE-OFF'!N57</f>
        <v>37280.150000000016</v>
      </c>
      <c r="D12" s="56" t="e">
        <f t="shared" ref="D12" si="0">C12/$B$8</f>
        <v>#DIV/0!</v>
      </c>
    </row>
    <row r="13" spans="1:5" s="28" customFormat="1" ht="15.75" thickBot="1">
      <c r="A13" s="136" t="s">
        <v>35</v>
      </c>
      <c r="B13" s="136"/>
      <c r="C13" s="68">
        <f>SUM(C11:C12)</f>
        <v>39516.950000000019</v>
      </c>
      <c r="D13" s="68" t="e">
        <f>SUM(D11:D12)</f>
        <v>#DIV/0!</v>
      </c>
    </row>
    <row r="14" spans="1:5" ht="15.75" thickBot="1">
      <c r="A14" s="137"/>
      <c r="B14" s="137"/>
      <c r="C14" s="137"/>
      <c r="D14" s="137"/>
    </row>
    <row r="15" spans="1:5" s="29" customFormat="1" ht="15">
      <c r="A15" s="70" t="s">
        <v>36</v>
      </c>
      <c r="B15" s="71">
        <v>0.15</v>
      </c>
      <c r="C15" s="72">
        <f>$C$13*B15</f>
        <v>5927.5425000000023</v>
      </c>
      <c r="D15" s="135" t="e">
        <f>C15/$B$8</f>
        <v>#DIV/0!</v>
      </c>
    </row>
    <row r="16" spans="1:5" s="29" customFormat="1" ht="15">
      <c r="A16" s="128" t="s">
        <v>37</v>
      </c>
      <c r="B16" s="129"/>
      <c r="C16" s="130">
        <f>C15+C13</f>
        <v>45444.492500000022</v>
      </c>
      <c r="D16" s="130" t="e">
        <f>C16/$B$8</f>
        <v>#DIV/0!</v>
      </c>
    </row>
    <row r="17" spans="1:4" s="29" customFormat="1" ht="15.75" thickBot="1">
      <c r="A17" s="70" t="s">
        <v>38</v>
      </c>
      <c r="B17" s="71">
        <v>0.1</v>
      </c>
      <c r="C17" s="72">
        <f>C16*B17</f>
        <v>4544.4492500000024</v>
      </c>
      <c r="D17" s="72" t="e">
        <f>C17/$B$8</f>
        <v>#DIV/0!</v>
      </c>
    </row>
    <row r="18" spans="1:4" s="27" customFormat="1" ht="15.75" thickBot="1">
      <c r="A18" s="138" t="s">
        <v>39</v>
      </c>
      <c r="B18" s="139"/>
      <c r="C18" s="69">
        <f>SUM(C16:C17)</f>
        <v>49988.941750000027</v>
      </c>
      <c r="D18" s="69" t="e">
        <f>SUM(D13:D17)/B8</f>
        <v>#DIV/0!</v>
      </c>
    </row>
  </sheetData>
  <mergeCells count="3">
    <mergeCell ref="A13:B13"/>
    <mergeCell ref="A14:D14"/>
    <mergeCell ref="A18:B18"/>
  </mergeCells>
  <conditionalFormatting sqref="B6">
    <cfRule type="expression" dxfId="1" priority="2">
      <formula>ISBLANK(B6)</formula>
    </cfRule>
  </conditionalFormatting>
  <pageMargins left="0" right="0" top="1" bottom="0" header="0" footer="0"/>
  <pageSetup paperSize="9" scale="5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pageSetUpPr fitToPage="1"/>
  </sheetPr>
  <dimension ref="A1:O77"/>
  <sheetViews>
    <sheetView showGridLines="0" tabSelected="1" view="pageBreakPreview" topLeftCell="A2" zoomScale="70" zoomScaleNormal="70" zoomScaleSheetLayoutView="70" workbookViewId="0">
      <selection activeCell="C4" sqref="C4"/>
    </sheetView>
  </sheetViews>
  <sheetFormatPr defaultColWidth="9" defaultRowHeight="14.25"/>
  <cols>
    <col min="1" max="1" width="8.625" style="7" customWidth="1"/>
    <col min="2" max="2" width="11.375" style="7" customWidth="1"/>
    <col min="3" max="3" width="47.25" style="7" customWidth="1"/>
    <col min="4" max="5" width="10.625" style="12" customWidth="1"/>
    <col min="6" max="6" width="8.375" style="7" customWidth="1"/>
    <col min="7" max="7" width="10.625" style="12" customWidth="1"/>
    <col min="8" max="10" width="10.625" style="7" customWidth="1"/>
    <col min="11" max="11" width="12.5" style="7" customWidth="1"/>
    <col min="12" max="12" width="12.875" style="7" customWidth="1"/>
    <col min="13" max="13" width="13.625" style="7" customWidth="1"/>
    <col min="14" max="14" width="15.125" style="7" customWidth="1"/>
    <col min="15" max="15" width="48.375" style="7" customWidth="1"/>
    <col min="16" max="16384" width="9" style="7"/>
  </cols>
  <sheetData>
    <row r="1" spans="1:15" s="3" customFormat="1" ht="15" hidden="1" customHeight="1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73"/>
    </row>
    <row r="2" spans="1:15" ht="15" customHeight="1">
      <c r="A2" s="1"/>
      <c r="B2" s="2"/>
      <c r="C2" s="15"/>
      <c r="D2" s="4"/>
      <c r="E2" s="4"/>
      <c r="F2" s="15"/>
      <c r="G2" s="4"/>
      <c r="H2" s="5"/>
      <c r="I2" s="5"/>
      <c r="J2" s="5"/>
      <c r="K2" s="5"/>
      <c r="L2" s="5"/>
      <c r="M2" s="5"/>
      <c r="N2" s="5"/>
      <c r="O2" s="6"/>
    </row>
    <row r="3" spans="1:15" ht="15" customHeight="1">
      <c r="A3" s="16" t="s">
        <v>11</v>
      </c>
      <c r="B3" s="86">
        <f>SUMMARY!B2</f>
        <v>0</v>
      </c>
      <c r="C3" s="74"/>
      <c r="D3" s="87"/>
      <c r="E3" s="87"/>
      <c r="F3" s="74"/>
      <c r="G3" s="87"/>
      <c r="H3" s="88"/>
      <c r="I3" s="140"/>
      <c r="J3" s="140"/>
      <c r="K3" s="140"/>
      <c r="L3" s="140"/>
      <c r="M3" s="88"/>
      <c r="N3" s="74"/>
      <c r="O3" s="8"/>
    </row>
    <row r="4" spans="1:15" ht="18.600000000000001" customHeight="1">
      <c r="A4" s="16"/>
      <c r="B4" s="86"/>
      <c r="C4" s="74"/>
      <c r="D4" s="87"/>
      <c r="E4" s="87"/>
      <c r="F4" s="74"/>
      <c r="G4" s="87"/>
      <c r="H4" s="88"/>
      <c r="I4" s="142"/>
      <c r="J4" s="142"/>
      <c r="K4" s="141"/>
      <c r="L4" s="142"/>
      <c r="M4" s="88"/>
      <c r="N4" s="74"/>
      <c r="O4" s="8"/>
    </row>
    <row r="5" spans="1:15" ht="15" customHeight="1">
      <c r="A5" s="16" t="s">
        <v>15</v>
      </c>
      <c r="B5" s="86"/>
      <c r="C5" s="74"/>
      <c r="D5" s="87"/>
      <c r="E5" s="87"/>
      <c r="F5" s="74"/>
      <c r="G5" s="87"/>
      <c r="H5" s="88"/>
      <c r="I5" s="142"/>
      <c r="J5" s="142"/>
      <c r="K5" s="144"/>
      <c r="L5" s="142"/>
      <c r="M5" s="88"/>
      <c r="N5" s="74"/>
      <c r="O5" s="8"/>
    </row>
    <row r="6" spans="1:15" ht="15" customHeight="1">
      <c r="A6" s="16"/>
      <c r="B6" s="86"/>
      <c r="C6" s="74"/>
      <c r="D6" s="87"/>
      <c r="E6" s="87"/>
      <c r="F6" s="74"/>
      <c r="G6" s="87"/>
      <c r="H6" s="88"/>
      <c r="I6" s="142"/>
      <c r="J6" s="142"/>
      <c r="K6" s="144"/>
      <c r="L6" s="142"/>
      <c r="M6" s="88"/>
      <c r="N6" s="74"/>
      <c r="O6" s="8"/>
    </row>
    <row r="7" spans="1:15" ht="15" customHeight="1">
      <c r="A7" s="16" t="s">
        <v>9</v>
      </c>
      <c r="B7" s="89" t="s">
        <v>65</v>
      </c>
      <c r="C7" s="74"/>
      <c r="D7" s="87"/>
      <c r="E7" s="87"/>
      <c r="F7" s="74"/>
      <c r="G7" s="87"/>
      <c r="H7" s="88"/>
      <c r="I7" s="142"/>
      <c r="J7" s="142"/>
      <c r="K7" s="144"/>
      <c r="L7" s="142"/>
      <c r="M7" s="88"/>
      <c r="N7" s="74"/>
      <c r="O7" s="8"/>
    </row>
    <row r="8" spans="1:15" ht="15" customHeight="1">
      <c r="A8" s="16"/>
      <c r="B8" s="86"/>
      <c r="C8" s="74"/>
      <c r="D8" s="87"/>
      <c r="E8" s="87"/>
      <c r="F8" s="74"/>
      <c r="G8" s="87"/>
      <c r="H8" s="88"/>
      <c r="I8" s="142"/>
      <c r="J8" s="142"/>
      <c r="K8" s="141"/>
      <c r="L8" s="142"/>
      <c r="M8" s="88"/>
      <c r="N8" s="74"/>
      <c r="O8" s="8"/>
    </row>
    <row r="9" spans="1:15" ht="15" customHeight="1">
      <c r="A9" s="98" t="s">
        <v>8</v>
      </c>
      <c r="B9" s="74"/>
      <c r="C9" s="90"/>
      <c r="D9" s="91"/>
      <c r="E9" s="91"/>
      <c r="F9" s="90"/>
      <c r="G9" s="91"/>
      <c r="H9" s="92"/>
      <c r="I9" s="92"/>
      <c r="J9" s="92"/>
      <c r="K9" s="92"/>
      <c r="L9" s="92"/>
      <c r="M9" s="92"/>
      <c r="N9" s="90"/>
      <c r="O9" s="8"/>
    </row>
    <row r="10" spans="1:15" s="3" customFormat="1" ht="61.35" customHeight="1">
      <c r="A10" s="80" t="s">
        <v>4</v>
      </c>
      <c r="B10" s="81" t="s">
        <v>34</v>
      </c>
      <c r="C10" s="82" t="s">
        <v>0</v>
      </c>
      <c r="D10" s="83" t="s">
        <v>1</v>
      </c>
      <c r="E10" s="83" t="s">
        <v>47</v>
      </c>
      <c r="F10" s="82" t="s">
        <v>2</v>
      </c>
      <c r="G10" s="84" t="s">
        <v>48</v>
      </c>
      <c r="H10" s="84" t="s">
        <v>33</v>
      </c>
      <c r="I10" s="81" t="s">
        <v>16</v>
      </c>
      <c r="J10" s="81" t="s">
        <v>12</v>
      </c>
      <c r="K10" s="81" t="s">
        <v>17</v>
      </c>
      <c r="L10" s="81" t="s">
        <v>13</v>
      </c>
      <c r="M10" s="81" t="s">
        <v>18</v>
      </c>
      <c r="N10" s="93" t="s">
        <v>5</v>
      </c>
      <c r="O10" s="59" t="s">
        <v>41</v>
      </c>
    </row>
    <row r="11" spans="1:15" s="3" customFormat="1" ht="18" customHeight="1">
      <c r="A11" s="58"/>
      <c r="B11" s="156" t="s">
        <v>28</v>
      </c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94"/>
      <c r="O11" s="99"/>
    </row>
    <row r="12" spans="1:15" ht="18" customHeight="1">
      <c r="A12" s="100">
        <v>1</v>
      </c>
      <c r="B12" s="19"/>
      <c r="C12" s="20" t="s">
        <v>71</v>
      </c>
      <c r="D12" s="19">
        <v>1</v>
      </c>
      <c r="E12" s="131">
        <v>0.1</v>
      </c>
      <c r="F12" s="19" t="s">
        <v>3</v>
      </c>
      <c r="G12" s="19">
        <v>1</v>
      </c>
      <c r="H12" s="51">
        <v>0</v>
      </c>
      <c r="I12" s="51">
        <f>E12*H12</f>
        <v>0</v>
      </c>
      <c r="J12" s="51">
        <v>0</v>
      </c>
      <c r="K12" s="51">
        <f>E12*J12</f>
        <v>0</v>
      </c>
      <c r="L12" s="51">
        <v>0</v>
      </c>
      <c r="M12" s="51">
        <f>E12*L12</f>
        <v>0</v>
      </c>
      <c r="N12" s="95">
        <v>2236.7999999999997</v>
      </c>
      <c r="O12" s="101"/>
    </row>
    <row r="13" spans="1:15" s="3" customFormat="1" ht="18" customHeight="1">
      <c r="A13" s="61" t="str">
        <f>IF(F13=0,"",1+MAX(A12:A12))</f>
        <v/>
      </c>
      <c r="B13" s="102"/>
      <c r="C13" s="103"/>
      <c r="D13" s="104"/>
      <c r="E13" s="104"/>
      <c r="F13" s="104"/>
      <c r="G13" s="104"/>
      <c r="H13" s="104"/>
      <c r="I13" s="104"/>
      <c r="J13" s="104"/>
      <c r="K13" s="104"/>
      <c r="L13" s="104"/>
      <c r="M13" s="104" t="s">
        <v>10</v>
      </c>
      <c r="N13" s="75">
        <f>SUM(N11:N12)</f>
        <v>2236.7999999999997</v>
      </c>
      <c r="O13" s="105"/>
    </row>
    <row r="14" spans="1:15" ht="18" customHeight="1">
      <c r="A14" s="32"/>
      <c r="B14" s="77"/>
      <c r="C14" s="77"/>
      <c r="D14" s="77"/>
      <c r="E14" s="77"/>
      <c r="F14" s="77"/>
      <c r="G14" s="77"/>
      <c r="H14" s="110"/>
      <c r="I14" s="77"/>
      <c r="J14" s="77"/>
      <c r="K14" s="77"/>
      <c r="L14" s="77"/>
      <c r="M14" s="77"/>
      <c r="N14" s="77"/>
      <c r="O14" s="111"/>
    </row>
    <row r="15" spans="1:15" s="3" customFormat="1" ht="18" customHeight="1">
      <c r="A15" s="108" t="str">
        <f>IF(F15=0,"",1+MAX(A14:A14))</f>
        <v/>
      </c>
      <c r="B15" s="155" t="s">
        <v>46</v>
      </c>
      <c r="C15" s="155"/>
      <c r="D15" s="155"/>
      <c r="E15" s="155"/>
      <c r="F15" s="155"/>
      <c r="G15" s="155"/>
      <c r="H15" s="155"/>
      <c r="I15" s="155"/>
      <c r="J15" s="155"/>
      <c r="K15" s="155"/>
      <c r="L15" s="155"/>
      <c r="M15" s="155"/>
      <c r="N15" s="96"/>
      <c r="O15" s="99"/>
    </row>
    <row r="16" spans="1:15" s="3" customFormat="1" ht="18" customHeight="1">
      <c r="A16" s="109" t="str">
        <f>IF(F16=0,"",1+MAX(A14:A15))</f>
        <v/>
      </c>
      <c r="B16" s="19"/>
      <c r="C16" s="44" t="s">
        <v>54</v>
      </c>
      <c r="D16" s="21"/>
      <c r="E16" s="21"/>
      <c r="F16" s="21"/>
      <c r="G16" s="21"/>
      <c r="H16" s="51"/>
      <c r="I16" s="51"/>
      <c r="J16" s="51"/>
      <c r="K16" s="51"/>
      <c r="L16" s="51"/>
      <c r="M16" s="51"/>
      <c r="N16" s="95"/>
      <c r="O16" s="101"/>
    </row>
    <row r="17" spans="1:15" s="3" customFormat="1" ht="18" customHeight="1">
      <c r="A17" s="109">
        <f>IF(F17=0,"",1+MAX(A12:A16))</f>
        <v>2</v>
      </c>
      <c r="B17" s="134" t="s">
        <v>72</v>
      </c>
      <c r="C17" s="34" t="s">
        <v>57</v>
      </c>
      <c r="D17" s="21">
        <v>213</v>
      </c>
      <c r="E17" s="131">
        <v>0.1</v>
      </c>
      <c r="F17" s="21" t="s">
        <v>30</v>
      </c>
      <c r="G17" s="21">
        <f t="shared" ref="G17:G32" si="0">D17+(D17*E17)</f>
        <v>234.3</v>
      </c>
      <c r="H17" s="51"/>
      <c r="I17" s="51"/>
      <c r="J17" s="51"/>
      <c r="K17" s="51"/>
      <c r="L17" s="51"/>
      <c r="M17" s="51"/>
      <c r="N17" s="95"/>
      <c r="O17" s="101"/>
    </row>
    <row r="18" spans="1:15" s="3" customFormat="1" ht="18" customHeight="1">
      <c r="A18" s="109">
        <f t="shared" ref="A18:A56" si="1">IF(F18=0,"",1+MAX(A13:A17))</f>
        <v>3</v>
      </c>
      <c r="B18" s="19"/>
      <c r="C18" s="132" t="s">
        <v>50</v>
      </c>
      <c r="D18" s="21">
        <f>D17/(1.2*2.4)</f>
        <v>73.958333333333343</v>
      </c>
      <c r="E18" s="131">
        <v>0</v>
      </c>
      <c r="F18" s="21" t="s">
        <v>27</v>
      </c>
      <c r="G18" s="21">
        <f t="shared" si="0"/>
        <v>73.958333333333343</v>
      </c>
      <c r="H18" s="51">
        <f>2.88*20</f>
        <v>57.599999999999994</v>
      </c>
      <c r="I18" s="51">
        <f>G18*H18</f>
        <v>4260</v>
      </c>
      <c r="J18" s="51">
        <f>2.88*15</f>
        <v>43.199999999999996</v>
      </c>
      <c r="K18" s="51">
        <f>G18*J18</f>
        <v>3195</v>
      </c>
      <c r="L18" s="51">
        <v>0</v>
      </c>
      <c r="M18" s="51">
        <f>E18*L18</f>
        <v>0</v>
      </c>
      <c r="N18" s="95">
        <f>IF(G18="","",(I18+K18+M18))</f>
        <v>7455</v>
      </c>
      <c r="O18" s="101"/>
    </row>
    <row r="19" spans="1:15" s="3" customFormat="1" ht="18" customHeight="1">
      <c r="A19" s="109">
        <f t="shared" si="1"/>
        <v>4</v>
      </c>
      <c r="B19" s="19"/>
      <c r="C19" s="132" t="s">
        <v>51</v>
      </c>
      <c r="D19" s="21">
        <f>D17*(18)</f>
        <v>3834</v>
      </c>
      <c r="E19" s="131">
        <v>0</v>
      </c>
      <c r="F19" s="21" t="s">
        <v>27</v>
      </c>
      <c r="G19" s="21">
        <f t="shared" si="0"/>
        <v>3834</v>
      </c>
      <c r="H19" s="51">
        <v>0.05</v>
      </c>
      <c r="I19" s="51">
        <f>G19*H19</f>
        <v>191.70000000000002</v>
      </c>
      <c r="J19" s="51">
        <v>0.06</v>
      </c>
      <c r="K19" s="51">
        <f>G19*J19</f>
        <v>230.04</v>
      </c>
      <c r="L19" s="51">
        <v>0</v>
      </c>
      <c r="M19" s="51">
        <f>E19*L19</f>
        <v>0</v>
      </c>
      <c r="N19" s="95">
        <f>IF(G19="","",(I19+K19+M19))</f>
        <v>421.74</v>
      </c>
      <c r="O19" s="101"/>
    </row>
    <row r="20" spans="1:15" s="3" customFormat="1" ht="18" customHeight="1">
      <c r="A20" s="109">
        <f t="shared" si="1"/>
        <v>5</v>
      </c>
      <c r="B20" s="19"/>
      <c r="C20" s="132" t="s">
        <v>52</v>
      </c>
      <c r="D20" s="21">
        <f>D17*1.75</f>
        <v>372.75</v>
      </c>
      <c r="E20" s="131">
        <v>0.1</v>
      </c>
      <c r="F20" s="21" t="s">
        <v>31</v>
      </c>
      <c r="G20" s="21">
        <f t="shared" si="0"/>
        <v>410.02499999999998</v>
      </c>
      <c r="H20" s="51">
        <v>3.5</v>
      </c>
      <c r="I20" s="51">
        <f>G20*H20</f>
        <v>1435.0874999999999</v>
      </c>
      <c r="J20" s="51">
        <v>0.9</v>
      </c>
      <c r="K20" s="51">
        <f>G20*J20</f>
        <v>369.02249999999998</v>
      </c>
      <c r="L20" s="51">
        <v>0</v>
      </c>
      <c r="M20" s="51">
        <f>E20*L20</f>
        <v>0</v>
      </c>
      <c r="N20" s="95">
        <f>IF(G20="","",(I20+K20+M20))</f>
        <v>1804.11</v>
      </c>
      <c r="O20" s="101"/>
    </row>
    <row r="21" spans="1:15" s="3" customFormat="1" ht="18" customHeight="1">
      <c r="A21" s="109">
        <f t="shared" si="1"/>
        <v>6</v>
      </c>
      <c r="B21" s="19"/>
      <c r="C21" s="132" t="s">
        <v>53</v>
      </c>
      <c r="D21" s="21">
        <f>D17*0.7</f>
        <v>149.1</v>
      </c>
      <c r="E21" s="131">
        <v>0.1</v>
      </c>
      <c r="F21" s="21" t="s">
        <v>49</v>
      </c>
      <c r="G21" s="21">
        <f t="shared" si="0"/>
        <v>164.01</v>
      </c>
      <c r="H21" s="51">
        <v>3.5</v>
      </c>
      <c r="I21" s="51">
        <f>G21*H21</f>
        <v>574.03499999999997</v>
      </c>
      <c r="J21" s="51">
        <v>1.5</v>
      </c>
      <c r="K21" s="51">
        <f>G21*J21</f>
        <v>246.01499999999999</v>
      </c>
      <c r="L21" s="51">
        <v>0</v>
      </c>
      <c r="M21" s="51">
        <f>E21*L21</f>
        <v>0</v>
      </c>
      <c r="N21" s="95">
        <f>IF(G21="","",(I21+K21+M21))</f>
        <v>820.05</v>
      </c>
      <c r="O21" s="101"/>
    </row>
    <row r="22" spans="1:15" s="3" customFormat="1" ht="18" customHeight="1">
      <c r="A22" s="109">
        <f t="shared" si="1"/>
        <v>7</v>
      </c>
      <c r="B22" s="134" t="s">
        <v>72</v>
      </c>
      <c r="C22" s="34" t="s">
        <v>58</v>
      </c>
      <c r="D22" s="21">
        <v>87</v>
      </c>
      <c r="E22" s="131">
        <v>0.1</v>
      </c>
      <c r="F22" s="21" t="s">
        <v>30</v>
      </c>
      <c r="G22" s="21">
        <f t="shared" si="0"/>
        <v>95.7</v>
      </c>
      <c r="H22" s="51"/>
      <c r="I22" s="51"/>
      <c r="J22" s="51"/>
      <c r="K22" s="51"/>
      <c r="L22" s="51"/>
      <c r="M22" s="51"/>
      <c r="N22" s="95"/>
      <c r="O22" s="101"/>
    </row>
    <row r="23" spans="1:15" s="3" customFormat="1" ht="18" customHeight="1">
      <c r="A23" s="109">
        <f t="shared" si="1"/>
        <v>8</v>
      </c>
      <c r="B23" s="19"/>
      <c r="C23" s="132" t="s">
        <v>50</v>
      </c>
      <c r="D23" s="21">
        <f>D22/(1.2*2.4)</f>
        <v>30.208333333333336</v>
      </c>
      <c r="E23" s="131">
        <v>0</v>
      </c>
      <c r="F23" s="21" t="s">
        <v>27</v>
      </c>
      <c r="G23" s="21">
        <f t="shared" si="0"/>
        <v>30.208333333333336</v>
      </c>
      <c r="H23" s="51">
        <f>2.88*22</f>
        <v>63.36</v>
      </c>
      <c r="I23" s="51">
        <f>G23*H23</f>
        <v>1914.0000000000002</v>
      </c>
      <c r="J23" s="51">
        <f>2.88*25</f>
        <v>72</v>
      </c>
      <c r="K23" s="51">
        <f>G23*J23</f>
        <v>2175</v>
      </c>
      <c r="L23" s="51">
        <v>0</v>
      </c>
      <c r="M23" s="51">
        <f>E23*L23</f>
        <v>0</v>
      </c>
      <c r="N23" s="95">
        <f>IF(G23="","",(I23+K23+M23))</f>
        <v>4089</v>
      </c>
      <c r="O23" s="101"/>
    </row>
    <row r="24" spans="1:15" s="3" customFormat="1" ht="18" customHeight="1">
      <c r="A24" s="109">
        <f t="shared" si="1"/>
        <v>9</v>
      </c>
      <c r="B24" s="19"/>
      <c r="C24" s="132" t="s">
        <v>51</v>
      </c>
      <c r="D24" s="21">
        <f>D22*(18)</f>
        <v>1566</v>
      </c>
      <c r="E24" s="131">
        <v>0</v>
      </c>
      <c r="F24" s="21" t="s">
        <v>27</v>
      </c>
      <c r="G24" s="21">
        <f t="shared" si="0"/>
        <v>1566</v>
      </c>
      <c r="H24" s="51">
        <v>0.05</v>
      </c>
      <c r="I24" s="51">
        <f>G24*H24</f>
        <v>78.300000000000011</v>
      </c>
      <c r="J24" s="51">
        <v>0.06</v>
      </c>
      <c r="K24" s="51">
        <f>G24*J24</f>
        <v>93.96</v>
      </c>
      <c r="L24" s="51">
        <v>0</v>
      </c>
      <c r="M24" s="51">
        <f>E24*L24</f>
        <v>0</v>
      </c>
      <c r="N24" s="95">
        <f>IF(G24="","",(I24+K24+M24))</f>
        <v>172.26</v>
      </c>
      <c r="O24" s="101"/>
    </row>
    <row r="25" spans="1:15" s="3" customFormat="1" ht="18" customHeight="1">
      <c r="A25" s="109">
        <f t="shared" si="1"/>
        <v>10</v>
      </c>
      <c r="B25" s="19"/>
      <c r="C25" s="132" t="s">
        <v>52</v>
      </c>
      <c r="D25" s="21">
        <f>D22*1.75</f>
        <v>152.25</v>
      </c>
      <c r="E25" s="131">
        <v>0.1</v>
      </c>
      <c r="F25" s="21" t="s">
        <v>31</v>
      </c>
      <c r="G25" s="21">
        <f t="shared" si="0"/>
        <v>167.47499999999999</v>
      </c>
      <c r="H25" s="51">
        <v>3.5</v>
      </c>
      <c r="I25" s="51">
        <f>G25*H25</f>
        <v>586.16250000000002</v>
      </c>
      <c r="J25" s="51">
        <v>0.9</v>
      </c>
      <c r="K25" s="51">
        <f>G25*J25</f>
        <v>150.72749999999999</v>
      </c>
      <c r="L25" s="51">
        <v>0</v>
      </c>
      <c r="M25" s="51">
        <f>E25*L25</f>
        <v>0</v>
      </c>
      <c r="N25" s="95">
        <f>IF(G25="","",(I25+K25+M25))</f>
        <v>736.89</v>
      </c>
      <c r="O25" s="101"/>
    </row>
    <row r="26" spans="1:15" s="3" customFormat="1" ht="18" customHeight="1">
      <c r="A26" s="109">
        <f t="shared" si="1"/>
        <v>11</v>
      </c>
      <c r="B26" s="19"/>
      <c r="C26" s="132" t="s">
        <v>53</v>
      </c>
      <c r="D26" s="21">
        <f>D22*0.7</f>
        <v>60.9</v>
      </c>
      <c r="E26" s="131">
        <v>0.1</v>
      </c>
      <c r="F26" s="21" t="s">
        <v>49</v>
      </c>
      <c r="G26" s="21">
        <f t="shared" si="0"/>
        <v>66.989999999999995</v>
      </c>
      <c r="H26" s="51">
        <v>3.5</v>
      </c>
      <c r="I26" s="51">
        <f>G26*H26</f>
        <v>234.46499999999997</v>
      </c>
      <c r="J26" s="51">
        <v>1.5</v>
      </c>
      <c r="K26" s="51">
        <f>G26*J26</f>
        <v>100.48499999999999</v>
      </c>
      <c r="L26" s="51">
        <v>0</v>
      </c>
      <c r="M26" s="51">
        <f>E26*L26</f>
        <v>0</v>
      </c>
      <c r="N26" s="95">
        <f>IF(G26="","",(I26+K26+M26))</f>
        <v>334.94999999999993</v>
      </c>
      <c r="O26" s="101"/>
    </row>
    <row r="27" spans="1:15" s="3" customFormat="1" ht="18" customHeight="1">
      <c r="A27" s="109">
        <f t="shared" si="1"/>
        <v>12</v>
      </c>
      <c r="B27" s="134" t="s">
        <v>72</v>
      </c>
      <c r="C27" s="34" t="s">
        <v>69</v>
      </c>
      <c r="D27" s="21">
        <v>32</v>
      </c>
      <c r="E27" s="131">
        <v>0.1</v>
      </c>
      <c r="F27" s="21" t="s">
        <v>30</v>
      </c>
      <c r="G27" s="21">
        <f t="shared" si="0"/>
        <v>35.200000000000003</v>
      </c>
      <c r="H27" s="51"/>
      <c r="I27" s="51"/>
      <c r="J27" s="51"/>
      <c r="K27" s="51"/>
      <c r="L27" s="51"/>
      <c r="M27" s="51"/>
      <c r="N27" s="95"/>
      <c r="O27" s="101"/>
    </row>
    <row r="28" spans="1:15" s="3" customFormat="1" ht="18" customHeight="1">
      <c r="A28" s="109">
        <f t="shared" si="1"/>
        <v>13</v>
      </c>
      <c r="B28" s="19"/>
      <c r="C28" s="132" t="s">
        <v>50</v>
      </c>
      <c r="D28" s="21">
        <f>D27/(1.2*2.4)</f>
        <v>11.111111111111111</v>
      </c>
      <c r="E28" s="131">
        <v>0</v>
      </c>
      <c r="F28" s="21" t="s">
        <v>27</v>
      </c>
      <c r="G28" s="21">
        <f t="shared" si="0"/>
        <v>11.111111111111111</v>
      </c>
      <c r="H28" s="51">
        <f>2.88*23</f>
        <v>66.239999999999995</v>
      </c>
      <c r="I28" s="51">
        <f>G28*H28</f>
        <v>735.99999999999989</v>
      </c>
      <c r="J28" s="51">
        <f>2.88*30</f>
        <v>86.399999999999991</v>
      </c>
      <c r="K28" s="51">
        <f>G28*J28</f>
        <v>959.99999999999989</v>
      </c>
      <c r="L28" s="51">
        <v>0</v>
      </c>
      <c r="M28" s="51">
        <f>E28*L28</f>
        <v>0</v>
      </c>
      <c r="N28" s="95">
        <f>IF(G28="","",(I28+K28+M28))</f>
        <v>1695.9999999999998</v>
      </c>
      <c r="O28" s="101"/>
    </row>
    <row r="29" spans="1:15" s="3" customFormat="1" ht="18" customHeight="1">
      <c r="A29" s="109">
        <f t="shared" si="1"/>
        <v>14</v>
      </c>
      <c r="B29" s="19"/>
      <c r="C29" s="132" t="s">
        <v>51</v>
      </c>
      <c r="D29" s="21">
        <f>D27*(18)</f>
        <v>576</v>
      </c>
      <c r="E29" s="131">
        <v>0</v>
      </c>
      <c r="F29" s="21" t="s">
        <v>27</v>
      </c>
      <c r="G29" s="21">
        <f t="shared" si="0"/>
        <v>576</v>
      </c>
      <c r="H29" s="51">
        <v>0.05</v>
      </c>
      <c r="I29" s="51">
        <f>G29*H29</f>
        <v>28.8</v>
      </c>
      <c r="J29" s="51">
        <v>0.06</v>
      </c>
      <c r="K29" s="51">
        <f>G29*J29</f>
        <v>34.56</v>
      </c>
      <c r="L29" s="51">
        <v>0</v>
      </c>
      <c r="M29" s="51">
        <f>E29*L29</f>
        <v>0</v>
      </c>
      <c r="N29" s="95">
        <f>IF(G29="","",(I29+K29+M29))</f>
        <v>63.36</v>
      </c>
      <c r="O29" s="101"/>
    </row>
    <row r="30" spans="1:15" s="3" customFormat="1" ht="18" customHeight="1">
      <c r="A30" s="109">
        <f t="shared" si="1"/>
        <v>15</v>
      </c>
      <c r="B30" s="19"/>
      <c r="C30" s="132" t="s">
        <v>52</v>
      </c>
      <c r="D30" s="21">
        <f>D27*1.75</f>
        <v>56</v>
      </c>
      <c r="E30" s="131">
        <v>0.1</v>
      </c>
      <c r="F30" s="21" t="s">
        <v>31</v>
      </c>
      <c r="G30" s="21">
        <f t="shared" si="0"/>
        <v>61.6</v>
      </c>
      <c r="H30" s="51">
        <v>3.5</v>
      </c>
      <c r="I30" s="51">
        <f>G30*H30</f>
        <v>215.6</v>
      </c>
      <c r="J30" s="51">
        <v>0.9</v>
      </c>
      <c r="K30" s="51">
        <f>G30*J30</f>
        <v>55.440000000000005</v>
      </c>
      <c r="L30" s="51">
        <v>0</v>
      </c>
      <c r="M30" s="51">
        <f>E30*L30</f>
        <v>0</v>
      </c>
      <c r="N30" s="95">
        <f>IF(G30="","",(I30+K30+M30))</f>
        <v>271.04000000000002</v>
      </c>
      <c r="O30" s="101"/>
    </row>
    <row r="31" spans="1:15" s="3" customFormat="1" ht="18" customHeight="1">
      <c r="A31" s="109">
        <f t="shared" si="1"/>
        <v>16</v>
      </c>
      <c r="B31" s="19"/>
      <c r="C31" s="132" t="s">
        <v>53</v>
      </c>
      <c r="D31" s="21">
        <f>D27*0.7</f>
        <v>22.4</v>
      </c>
      <c r="E31" s="131">
        <v>0.1</v>
      </c>
      <c r="F31" s="21" t="s">
        <v>49</v>
      </c>
      <c r="G31" s="21">
        <f t="shared" si="0"/>
        <v>24.639999999999997</v>
      </c>
      <c r="H31" s="51">
        <v>3.5</v>
      </c>
      <c r="I31" s="51">
        <f>G31*H31</f>
        <v>86.24</v>
      </c>
      <c r="J31" s="51">
        <v>1.5</v>
      </c>
      <c r="K31" s="51">
        <f>G31*J31</f>
        <v>36.959999999999994</v>
      </c>
      <c r="L31" s="51">
        <v>0</v>
      </c>
      <c r="M31" s="51">
        <f>E31*L31</f>
        <v>0</v>
      </c>
      <c r="N31" s="95">
        <f>IF(G31="","",(I31+K31+M31))</f>
        <v>123.19999999999999</v>
      </c>
      <c r="O31" s="101"/>
    </row>
    <row r="32" spans="1:15" s="3" customFormat="1" ht="18" customHeight="1">
      <c r="A32" s="109">
        <f t="shared" si="1"/>
        <v>17</v>
      </c>
      <c r="B32" s="19"/>
      <c r="C32" s="34" t="s">
        <v>59</v>
      </c>
      <c r="D32" s="21">
        <v>345</v>
      </c>
      <c r="E32" s="131">
        <v>0.1</v>
      </c>
      <c r="F32" s="21" t="s">
        <v>31</v>
      </c>
      <c r="G32" s="21">
        <f t="shared" si="0"/>
        <v>379.5</v>
      </c>
      <c r="H32" s="51">
        <v>3.6</v>
      </c>
      <c r="I32" s="51">
        <f>G32*H32</f>
        <v>1366.2</v>
      </c>
      <c r="J32" s="51">
        <v>0.5</v>
      </c>
      <c r="K32" s="51">
        <f>G32*J32</f>
        <v>189.75</v>
      </c>
      <c r="L32" s="51">
        <v>0</v>
      </c>
      <c r="M32" s="51">
        <f>E32*L32</f>
        <v>0</v>
      </c>
      <c r="N32" s="95">
        <f>IF(G32="","",(I32+K32+M32))</f>
        <v>1555.95</v>
      </c>
      <c r="O32" s="101"/>
    </row>
    <row r="33" spans="1:15" s="3" customFormat="1" ht="15">
      <c r="A33" s="109" t="str">
        <f t="shared" si="1"/>
        <v/>
      </c>
      <c r="B33" s="19"/>
      <c r="C33" s="133" t="s">
        <v>45</v>
      </c>
      <c r="D33" s="21"/>
      <c r="E33" s="21"/>
      <c r="F33" s="21"/>
      <c r="G33" s="21"/>
      <c r="H33" s="50"/>
      <c r="I33" s="51"/>
      <c r="J33" s="51"/>
      <c r="K33" s="51"/>
      <c r="L33" s="51"/>
      <c r="M33" s="51"/>
      <c r="N33" s="95"/>
      <c r="O33" s="101"/>
    </row>
    <row r="34" spans="1:15" ht="15">
      <c r="A34" s="109">
        <f t="shared" si="1"/>
        <v>18</v>
      </c>
      <c r="B34" s="134" t="s">
        <v>72</v>
      </c>
      <c r="C34" s="34" t="s">
        <v>64</v>
      </c>
      <c r="D34" s="21">
        <v>34</v>
      </c>
      <c r="E34" s="131">
        <v>0.1</v>
      </c>
      <c r="F34" s="21" t="s">
        <v>31</v>
      </c>
      <c r="G34" s="21">
        <f t="shared" ref="G34" si="2">D34+(D34*E34)</f>
        <v>37.4</v>
      </c>
      <c r="H34" s="51">
        <v>15</v>
      </c>
      <c r="I34" s="51">
        <f t="shared" ref="I34" si="3">G34*H34</f>
        <v>561</v>
      </c>
      <c r="J34" s="51">
        <v>14</v>
      </c>
      <c r="K34" s="51">
        <f t="shared" ref="K34" si="4">G34*J34</f>
        <v>523.6</v>
      </c>
      <c r="L34" s="51">
        <v>0</v>
      </c>
      <c r="M34" s="51">
        <f t="shared" ref="M34" si="5">E34*L34</f>
        <v>0</v>
      </c>
      <c r="N34" s="95">
        <f t="shared" ref="N34" si="6">IF(G34="","",(I34+K34+M34))</f>
        <v>1084.5999999999999</v>
      </c>
      <c r="O34" s="101"/>
    </row>
    <row r="35" spans="1:15" ht="15">
      <c r="A35" s="109">
        <f t="shared" si="1"/>
        <v>19</v>
      </c>
      <c r="B35" s="134" t="s">
        <v>72</v>
      </c>
      <c r="C35" s="34" t="s">
        <v>55</v>
      </c>
      <c r="D35" s="21">
        <v>76</v>
      </c>
      <c r="E35" s="131">
        <v>0.1</v>
      </c>
      <c r="F35" s="21" t="s">
        <v>31</v>
      </c>
      <c r="G35" s="21">
        <f t="shared" ref="G35:G36" si="7">D35+(D35*E35)</f>
        <v>83.6</v>
      </c>
      <c r="H35" s="51">
        <v>15</v>
      </c>
      <c r="I35" s="51">
        <f t="shared" ref="I35:I36" si="8">G35*H35</f>
        <v>1254</v>
      </c>
      <c r="J35" s="51">
        <v>14</v>
      </c>
      <c r="K35" s="51">
        <f t="shared" ref="K35:K36" si="9">G35*J35</f>
        <v>1170.3999999999999</v>
      </c>
      <c r="L35" s="51">
        <v>0</v>
      </c>
      <c r="M35" s="51">
        <f t="shared" ref="M35:M36" si="10">E35*L35</f>
        <v>0</v>
      </c>
      <c r="N35" s="95">
        <f t="shared" ref="N35:N36" si="11">IF(G35="","",(I35+K35+M35))</f>
        <v>2424.3999999999996</v>
      </c>
      <c r="O35" s="101"/>
    </row>
    <row r="36" spans="1:15" ht="15">
      <c r="A36" s="109">
        <f t="shared" si="1"/>
        <v>20</v>
      </c>
      <c r="B36" s="134" t="s">
        <v>72</v>
      </c>
      <c r="C36" s="34" t="s">
        <v>56</v>
      </c>
      <c r="D36" s="21">
        <v>45</v>
      </c>
      <c r="E36" s="131">
        <v>0.1</v>
      </c>
      <c r="F36" s="21" t="s">
        <v>31</v>
      </c>
      <c r="G36" s="21">
        <f t="shared" si="7"/>
        <v>49.5</v>
      </c>
      <c r="H36" s="51">
        <v>15</v>
      </c>
      <c r="I36" s="51">
        <f t="shared" si="8"/>
        <v>742.5</v>
      </c>
      <c r="J36" s="51">
        <v>14</v>
      </c>
      <c r="K36" s="51">
        <f t="shared" si="9"/>
        <v>693</v>
      </c>
      <c r="L36" s="51">
        <v>0</v>
      </c>
      <c r="M36" s="51">
        <f t="shared" si="10"/>
        <v>0</v>
      </c>
      <c r="N36" s="95">
        <f t="shared" si="11"/>
        <v>1435.5</v>
      </c>
      <c r="O36" s="101"/>
    </row>
    <row r="37" spans="1:15" s="3" customFormat="1" ht="15">
      <c r="A37" s="109" t="str">
        <f t="shared" si="1"/>
        <v/>
      </c>
      <c r="B37" s="19"/>
      <c r="C37" s="44" t="s">
        <v>61</v>
      </c>
      <c r="D37" s="21"/>
      <c r="E37" s="21"/>
      <c r="F37" s="21"/>
      <c r="G37" s="21"/>
      <c r="H37" s="51"/>
      <c r="I37" s="51"/>
      <c r="J37" s="51"/>
      <c r="K37" s="51"/>
      <c r="L37" s="51"/>
      <c r="M37" s="51"/>
      <c r="N37" s="95"/>
      <c r="O37" s="101"/>
    </row>
    <row r="38" spans="1:15" s="3" customFormat="1" ht="18" customHeight="1">
      <c r="A38" s="109">
        <f t="shared" si="1"/>
        <v>21</v>
      </c>
      <c r="B38" s="134" t="s">
        <v>72</v>
      </c>
      <c r="C38" s="34" t="s">
        <v>60</v>
      </c>
      <c r="D38" s="21">
        <v>89</v>
      </c>
      <c r="E38" s="131">
        <v>0.1</v>
      </c>
      <c r="F38" s="21" t="s">
        <v>30</v>
      </c>
      <c r="G38" s="21">
        <f t="shared" ref="G38:G52" si="12">D38+(D38*E38)</f>
        <v>97.9</v>
      </c>
      <c r="H38" s="51"/>
      <c r="I38" s="51"/>
      <c r="J38" s="51"/>
      <c r="K38" s="51"/>
      <c r="L38" s="51"/>
      <c r="M38" s="51"/>
      <c r="N38" s="95"/>
      <c r="O38" s="101"/>
    </row>
    <row r="39" spans="1:15" s="3" customFormat="1" ht="18" customHeight="1">
      <c r="A39" s="109">
        <f t="shared" si="1"/>
        <v>22</v>
      </c>
      <c r="B39" s="19"/>
      <c r="C39" s="132" t="s">
        <v>50</v>
      </c>
      <c r="D39" s="21">
        <f>D38/(1.2*2.4)</f>
        <v>30.902777777777779</v>
      </c>
      <c r="E39" s="131">
        <v>0</v>
      </c>
      <c r="F39" s="21" t="s">
        <v>27</v>
      </c>
      <c r="G39" s="21">
        <f t="shared" si="12"/>
        <v>30.902777777777779</v>
      </c>
      <c r="H39" s="51">
        <f>2.88*22</f>
        <v>63.36</v>
      </c>
      <c r="I39" s="51">
        <f>G39*H39</f>
        <v>1958</v>
      </c>
      <c r="J39" s="51">
        <f>2.88*15</f>
        <v>43.199999999999996</v>
      </c>
      <c r="K39" s="51">
        <f>G39*J39</f>
        <v>1335</v>
      </c>
      <c r="L39" s="51">
        <v>0</v>
      </c>
      <c r="M39" s="51">
        <f>E39*L39</f>
        <v>0</v>
      </c>
      <c r="N39" s="95">
        <f>IF(G39="","",(I39+K39+M39))</f>
        <v>3293</v>
      </c>
      <c r="O39" s="101"/>
    </row>
    <row r="40" spans="1:15" s="3" customFormat="1" ht="18" customHeight="1">
      <c r="A40" s="109">
        <f t="shared" si="1"/>
        <v>23</v>
      </c>
      <c r="B40" s="19"/>
      <c r="C40" s="132" t="s">
        <v>51</v>
      </c>
      <c r="D40" s="21">
        <f>D38*(18)</f>
        <v>1602</v>
      </c>
      <c r="E40" s="131">
        <v>0</v>
      </c>
      <c r="F40" s="21" t="s">
        <v>27</v>
      </c>
      <c r="G40" s="21">
        <f t="shared" si="12"/>
        <v>1602</v>
      </c>
      <c r="H40" s="51">
        <v>0.05</v>
      </c>
      <c r="I40" s="51">
        <f>G40*H40</f>
        <v>80.100000000000009</v>
      </c>
      <c r="J40" s="51">
        <v>0.06</v>
      </c>
      <c r="K40" s="51">
        <f>G40*J40</f>
        <v>96.11999999999999</v>
      </c>
      <c r="L40" s="51">
        <v>0</v>
      </c>
      <c r="M40" s="51">
        <f>E40*L40</f>
        <v>0</v>
      </c>
      <c r="N40" s="95">
        <f>IF(G40="","",(I40+K40+M40))</f>
        <v>176.22</v>
      </c>
      <c r="O40" s="101"/>
    </row>
    <row r="41" spans="1:15" s="3" customFormat="1" ht="18" customHeight="1">
      <c r="A41" s="109">
        <f t="shared" si="1"/>
        <v>24</v>
      </c>
      <c r="B41" s="19"/>
      <c r="C41" s="132" t="s">
        <v>52</v>
      </c>
      <c r="D41" s="21">
        <f>D38*1.75</f>
        <v>155.75</v>
      </c>
      <c r="E41" s="131">
        <v>0.1</v>
      </c>
      <c r="F41" s="21" t="s">
        <v>31</v>
      </c>
      <c r="G41" s="21">
        <f t="shared" si="12"/>
        <v>171.32499999999999</v>
      </c>
      <c r="H41" s="51">
        <v>3.5</v>
      </c>
      <c r="I41" s="51">
        <f>G41*H41</f>
        <v>599.63749999999993</v>
      </c>
      <c r="J41" s="51">
        <v>0.9</v>
      </c>
      <c r="K41" s="51">
        <f>G41*J41</f>
        <v>154.1925</v>
      </c>
      <c r="L41" s="51">
        <v>0</v>
      </c>
      <c r="M41" s="51">
        <f>E41*L41</f>
        <v>0</v>
      </c>
      <c r="N41" s="95">
        <f>IF(G41="","",(I41+K41+M41))</f>
        <v>753.82999999999993</v>
      </c>
      <c r="O41" s="101"/>
    </row>
    <row r="42" spans="1:15" s="3" customFormat="1" ht="18" customHeight="1">
      <c r="A42" s="109">
        <f t="shared" si="1"/>
        <v>25</v>
      </c>
      <c r="B42" s="19"/>
      <c r="C42" s="132" t="s">
        <v>53</v>
      </c>
      <c r="D42" s="21">
        <f>D38*0.7</f>
        <v>62.3</v>
      </c>
      <c r="E42" s="131">
        <v>0.1</v>
      </c>
      <c r="F42" s="21" t="s">
        <v>49</v>
      </c>
      <c r="G42" s="21">
        <f t="shared" si="12"/>
        <v>68.53</v>
      </c>
      <c r="H42" s="51">
        <v>3.5</v>
      </c>
      <c r="I42" s="51">
        <f>G42*H42</f>
        <v>239.85500000000002</v>
      </c>
      <c r="J42" s="51">
        <v>1.5</v>
      </c>
      <c r="K42" s="51">
        <f>G42*J42</f>
        <v>102.795</v>
      </c>
      <c r="L42" s="51">
        <v>0</v>
      </c>
      <c r="M42" s="51">
        <f>E42*L42</f>
        <v>0</v>
      </c>
      <c r="N42" s="95">
        <f>IF(G42="","",(I42+K42+M42))</f>
        <v>342.65000000000003</v>
      </c>
      <c r="O42" s="101"/>
    </row>
    <row r="43" spans="1:15" s="3" customFormat="1" ht="18" customHeight="1">
      <c r="A43" s="109">
        <f t="shared" si="1"/>
        <v>26</v>
      </c>
      <c r="B43" s="134" t="s">
        <v>72</v>
      </c>
      <c r="C43" s="34" t="s">
        <v>62</v>
      </c>
      <c r="D43" s="21">
        <v>34</v>
      </c>
      <c r="E43" s="131">
        <v>0.1</v>
      </c>
      <c r="F43" s="21" t="s">
        <v>30</v>
      </c>
      <c r="G43" s="21">
        <f t="shared" si="12"/>
        <v>37.4</v>
      </c>
      <c r="H43" s="51"/>
      <c r="I43" s="51"/>
      <c r="J43" s="51"/>
      <c r="K43" s="51"/>
      <c r="L43" s="51"/>
      <c r="M43" s="51"/>
      <c r="N43" s="95"/>
      <c r="O43" s="101"/>
    </row>
    <row r="44" spans="1:15" s="3" customFormat="1" ht="18" customHeight="1">
      <c r="A44" s="109">
        <f t="shared" si="1"/>
        <v>27</v>
      </c>
      <c r="B44" s="19"/>
      <c r="C44" s="132" t="s">
        <v>50</v>
      </c>
      <c r="D44" s="21">
        <f>D43/(1.2*2.4)</f>
        <v>11.805555555555555</v>
      </c>
      <c r="E44" s="131">
        <v>0</v>
      </c>
      <c r="F44" s="21" t="s">
        <v>27</v>
      </c>
      <c r="G44" s="21">
        <f t="shared" si="12"/>
        <v>11.805555555555555</v>
      </c>
      <c r="H44" s="51">
        <f>2.88*24</f>
        <v>69.12</v>
      </c>
      <c r="I44" s="51">
        <f>G44*H44</f>
        <v>816</v>
      </c>
      <c r="J44" s="51">
        <f>2.88*25</f>
        <v>72</v>
      </c>
      <c r="K44" s="51">
        <f>G44*J44</f>
        <v>850</v>
      </c>
      <c r="L44" s="51">
        <v>0</v>
      </c>
      <c r="M44" s="51">
        <f>E44*L44</f>
        <v>0</v>
      </c>
      <c r="N44" s="95">
        <f>IF(G44="","",(I44+K44+M44))</f>
        <v>1666</v>
      </c>
      <c r="O44" s="101"/>
    </row>
    <row r="45" spans="1:15" s="3" customFormat="1" ht="18" customHeight="1">
      <c r="A45" s="109">
        <f t="shared" si="1"/>
        <v>28</v>
      </c>
      <c r="B45" s="19"/>
      <c r="C45" s="132" t="s">
        <v>51</v>
      </c>
      <c r="D45" s="21">
        <f>D43*(18)</f>
        <v>612</v>
      </c>
      <c r="E45" s="131">
        <v>0</v>
      </c>
      <c r="F45" s="21" t="s">
        <v>27</v>
      </c>
      <c r="G45" s="21">
        <f t="shared" si="12"/>
        <v>612</v>
      </c>
      <c r="H45" s="51">
        <v>0.05</v>
      </c>
      <c r="I45" s="51">
        <f>G45*H45</f>
        <v>30.6</v>
      </c>
      <c r="J45" s="51">
        <v>0.06</v>
      </c>
      <c r="K45" s="51">
        <f>G45*J45</f>
        <v>36.72</v>
      </c>
      <c r="L45" s="51">
        <v>0</v>
      </c>
      <c r="M45" s="51">
        <f>E45*L45</f>
        <v>0</v>
      </c>
      <c r="N45" s="95">
        <f>IF(G45="","",(I45+K45+M45))</f>
        <v>67.319999999999993</v>
      </c>
      <c r="O45" s="101"/>
    </row>
    <row r="46" spans="1:15" s="3" customFormat="1" ht="18" customHeight="1">
      <c r="A46" s="109">
        <f t="shared" si="1"/>
        <v>29</v>
      </c>
      <c r="B46" s="19"/>
      <c r="C46" s="132" t="s">
        <v>52</v>
      </c>
      <c r="D46" s="21">
        <f>D43*1.75</f>
        <v>59.5</v>
      </c>
      <c r="E46" s="131">
        <v>0.1</v>
      </c>
      <c r="F46" s="21" t="s">
        <v>31</v>
      </c>
      <c r="G46" s="21">
        <f t="shared" si="12"/>
        <v>65.45</v>
      </c>
      <c r="H46" s="51">
        <v>3.5</v>
      </c>
      <c r="I46" s="51">
        <f>G46*H46</f>
        <v>229.07500000000002</v>
      </c>
      <c r="J46" s="51">
        <v>0.9</v>
      </c>
      <c r="K46" s="51">
        <f>G46*J46</f>
        <v>58.905000000000001</v>
      </c>
      <c r="L46" s="51">
        <v>0</v>
      </c>
      <c r="M46" s="51">
        <f>E46*L46</f>
        <v>0</v>
      </c>
      <c r="N46" s="95">
        <f>IF(G46="","",(I46+K46+M46))</f>
        <v>287.98</v>
      </c>
      <c r="O46" s="101"/>
    </row>
    <row r="47" spans="1:15" s="3" customFormat="1" ht="18" customHeight="1">
      <c r="A47" s="109">
        <f t="shared" si="1"/>
        <v>30</v>
      </c>
      <c r="B47" s="19"/>
      <c r="C47" s="132" t="s">
        <v>53</v>
      </c>
      <c r="D47" s="21">
        <f>D43*0.7</f>
        <v>23.799999999999997</v>
      </c>
      <c r="E47" s="131">
        <v>0.1</v>
      </c>
      <c r="F47" s="21" t="s">
        <v>49</v>
      </c>
      <c r="G47" s="21">
        <f t="shared" si="12"/>
        <v>26.179999999999996</v>
      </c>
      <c r="H47" s="51">
        <v>3.5</v>
      </c>
      <c r="I47" s="51">
        <f>G47*H47</f>
        <v>91.629999999999981</v>
      </c>
      <c r="J47" s="51">
        <v>1.5</v>
      </c>
      <c r="K47" s="51">
        <f>G47*J47</f>
        <v>39.269999999999996</v>
      </c>
      <c r="L47" s="51">
        <v>0</v>
      </c>
      <c r="M47" s="51">
        <f>E47*L47</f>
        <v>0</v>
      </c>
      <c r="N47" s="95">
        <f>IF(G47="","",(I47+K47+M47))</f>
        <v>130.89999999999998</v>
      </c>
      <c r="O47" s="101"/>
    </row>
    <row r="48" spans="1:15" s="3" customFormat="1" ht="18" customHeight="1">
      <c r="A48" s="109">
        <f t="shared" si="1"/>
        <v>31</v>
      </c>
      <c r="B48" s="134" t="s">
        <v>72</v>
      </c>
      <c r="C48" s="34" t="s">
        <v>70</v>
      </c>
      <c r="D48" s="21">
        <v>23</v>
      </c>
      <c r="E48" s="131">
        <v>0.1</v>
      </c>
      <c r="F48" s="21" t="s">
        <v>30</v>
      </c>
      <c r="G48" s="21">
        <f t="shared" si="12"/>
        <v>25.3</v>
      </c>
      <c r="H48" s="51"/>
      <c r="I48" s="51"/>
      <c r="J48" s="51"/>
      <c r="K48" s="51"/>
      <c r="L48" s="51"/>
      <c r="M48" s="51"/>
      <c r="N48" s="95"/>
      <c r="O48" s="101"/>
    </row>
    <row r="49" spans="1:15" s="3" customFormat="1" ht="18" customHeight="1">
      <c r="A49" s="109">
        <f t="shared" si="1"/>
        <v>32</v>
      </c>
      <c r="B49" s="19"/>
      <c r="C49" s="132" t="s">
        <v>50</v>
      </c>
      <c r="D49" s="21">
        <f>D48/(1.2*2.4)</f>
        <v>7.9861111111111116</v>
      </c>
      <c r="E49" s="131">
        <v>0</v>
      </c>
      <c r="F49" s="21" t="s">
        <v>27</v>
      </c>
      <c r="G49" s="21">
        <f t="shared" si="12"/>
        <v>7.9861111111111116</v>
      </c>
      <c r="H49" s="51">
        <f>2.88*25</f>
        <v>72</v>
      </c>
      <c r="I49" s="51">
        <f>G49*H49</f>
        <v>575</v>
      </c>
      <c r="J49" s="51">
        <f>2.88*30</f>
        <v>86.399999999999991</v>
      </c>
      <c r="K49" s="51">
        <f>G49*J49</f>
        <v>690</v>
      </c>
      <c r="L49" s="51">
        <v>0</v>
      </c>
      <c r="M49" s="51">
        <f>E49*L49</f>
        <v>0</v>
      </c>
      <c r="N49" s="95">
        <f>IF(G49="","",(I49+K49+M49))</f>
        <v>1265</v>
      </c>
      <c r="O49" s="101"/>
    </row>
    <row r="50" spans="1:15" s="3" customFormat="1" ht="18" customHeight="1">
      <c r="A50" s="109">
        <f t="shared" si="1"/>
        <v>33</v>
      </c>
      <c r="B50" s="19"/>
      <c r="C50" s="132" t="s">
        <v>51</v>
      </c>
      <c r="D50" s="21">
        <f>D48*(18)</f>
        <v>414</v>
      </c>
      <c r="E50" s="131">
        <v>0</v>
      </c>
      <c r="F50" s="21" t="s">
        <v>27</v>
      </c>
      <c r="G50" s="21">
        <f t="shared" si="12"/>
        <v>414</v>
      </c>
      <c r="H50" s="51">
        <v>0.05</v>
      </c>
      <c r="I50" s="51">
        <f>G50*H50</f>
        <v>20.700000000000003</v>
      </c>
      <c r="J50" s="51">
        <v>0.06</v>
      </c>
      <c r="K50" s="51">
        <f>G50*J50</f>
        <v>24.84</v>
      </c>
      <c r="L50" s="51">
        <v>0</v>
      </c>
      <c r="M50" s="51">
        <f>E50*L50</f>
        <v>0</v>
      </c>
      <c r="N50" s="95">
        <f>IF(G50="","",(I50+K50+M50))</f>
        <v>45.540000000000006</v>
      </c>
      <c r="O50" s="101"/>
    </row>
    <row r="51" spans="1:15" s="3" customFormat="1" ht="18" customHeight="1">
      <c r="A51" s="109">
        <f t="shared" si="1"/>
        <v>34</v>
      </c>
      <c r="B51" s="19"/>
      <c r="C51" s="132" t="s">
        <v>52</v>
      </c>
      <c r="D51" s="21">
        <f>D48*1.75</f>
        <v>40.25</v>
      </c>
      <c r="E51" s="131">
        <v>0.1</v>
      </c>
      <c r="F51" s="21" t="s">
        <v>31</v>
      </c>
      <c r="G51" s="21">
        <f t="shared" si="12"/>
        <v>44.274999999999999</v>
      </c>
      <c r="H51" s="51">
        <v>3.5</v>
      </c>
      <c r="I51" s="51">
        <f>G51*H51</f>
        <v>154.96250000000001</v>
      </c>
      <c r="J51" s="51">
        <v>0.9</v>
      </c>
      <c r="K51" s="51">
        <f>G51*J51</f>
        <v>39.847499999999997</v>
      </c>
      <c r="L51" s="51">
        <v>0</v>
      </c>
      <c r="M51" s="51">
        <f>E51*L51</f>
        <v>0</v>
      </c>
      <c r="N51" s="95">
        <f>IF(G51="","",(I51+K51+M51))</f>
        <v>194.81</v>
      </c>
      <c r="O51" s="101"/>
    </row>
    <row r="52" spans="1:15" s="3" customFormat="1" ht="18" customHeight="1">
      <c r="A52" s="109">
        <f t="shared" si="1"/>
        <v>35</v>
      </c>
      <c r="B52" s="19"/>
      <c r="C52" s="132" t="s">
        <v>53</v>
      </c>
      <c r="D52" s="21">
        <f>D48*0.7</f>
        <v>16.099999999999998</v>
      </c>
      <c r="E52" s="131">
        <v>0.1</v>
      </c>
      <c r="F52" s="21" t="s">
        <v>49</v>
      </c>
      <c r="G52" s="21">
        <f t="shared" si="12"/>
        <v>17.709999999999997</v>
      </c>
      <c r="H52" s="51">
        <v>3.5</v>
      </c>
      <c r="I52" s="51">
        <f>G52*H52</f>
        <v>61.984999999999992</v>
      </c>
      <c r="J52" s="51">
        <v>1.5</v>
      </c>
      <c r="K52" s="51">
        <f>G52*J52</f>
        <v>26.564999999999998</v>
      </c>
      <c r="L52" s="51">
        <v>0</v>
      </c>
      <c r="M52" s="51">
        <f>E52*L52</f>
        <v>0</v>
      </c>
      <c r="N52" s="95">
        <f>IF(G52="","",(I52+K52+M52))</f>
        <v>88.549999999999983</v>
      </c>
      <c r="O52" s="101"/>
    </row>
    <row r="53" spans="1:15" s="3" customFormat="1" ht="15">
      <c r="A53" s="109" t="str">
        <f t="shared" si="1"/>
        <v/>
      </c>
      <c r="B53" s="19"/>
      <c r="C53" s="133" t="s">
        <v>45</v>
      </c>
      <c r="D53" s="21"/>
      <c r="E53" s="21"/>
      <c r="F53" s="21"/>
      <c r="G53" s="21"/>
      <c r="H53" s="50"/>
      <c r="I53" s="51"/>
      <c r="J53" s="51"/>
      <c r="K53" s="51"/>
      <c r="L53" s="51"/>
      <c r="M53" s="51"/>
      <c r="N53" s="95"/>
      <c r="O53" s="101"/>
    </row>
    <row r="54" spans="1:15" ht="15">
      <c r="A54" s="109">
        <f t="shared" si="1"/>
        <v>36</v>
      </c>
      <c r="B54" s="134" t="s">
        <v>72</v>
      </c>
      <c r="C54" s="34" t="s">
        <v>63</v>
      </c>
      <c r="D54" s="21">
        <v>57</v>
      </c>
      <c r="E54" s="131">
        <v>0.1</v>
      </c>
      <c r="F54" s="21" t="s">
        <v>31</v>
      </c>
      <c r="G54" s="21">
        <f>D54+(D54*E54)</f>
        <v>62.7</v>
      </c>
      <c r="H54" s="51">
        <v>15</v>
      </c>
      <c r="I54" s="51">
        <f t="shared" ref="I54" si="13">G54*H54</f>
        <v>940.5</v>
      </c>
      <c r="J54" s="51">
        <v>14</v>
      </c>
      <c r="K54" s="51">
        <f t="shared" ref="K54" si="14">G54*J54</f>
        <v>877.80000000000007</v>
      </c>
      <c r="L54" s="51">
        <v>0</v>
      </c>
      <c r="M54" s="51">
        <f t="shared" ref="M54" si="15">E54*L54</f>
        <v>0</v>
      </c>
      <c r="N54" s="95">
        <f t="shared" ref="N54" si="16">IF(G54="","",(I54+K54+M54))</f>
        <v>1818.3000000000002</v>
      </c>
      <c r="O54" s="101"/>
    </row>
    <row r="55" spans="1:15" ht="15">
      <c r="A55" s="109">
        <f t="shared" si="1"/>
        <v>37</v>
      </c>
      <c r="B55" s="134" t="s">
        <v>72</v>
      </c>
      <c r="C55" s="34" t="s">
        <v>73</v>
      </c>
      <c r="D55" s="21">
        <v>86</v>
      </c>
      <c r="E55" s="131">
        <v>0.1</v>
      </c>
      <c r="F55" s="21" t="s">
        <v>31</v>
      </c>
      <c r="G55" s="21">
        <f t="shared" ref="G55" si="17">D55+(D55*E55)</f>
        <v>94.6</v>
      </c>
      <c r="H55" s="51">
        <v>12</v>
      </c>
      <c r="I55" s="51">
        <f t="shared" ref="I55" si="18">G55*H55</f>
        <v>1135.1999999999998</v>
      </c>
      <c r="J55" s="51">
        <v>8</v>
      </c>
      <c r="K55" s="51">
        <f t="shared" ref="K55" si="19">G55*J55</f>
        <v>756.8</v>
      </c>
      <c r="L55" s="51">
        <v>0</v>
      </c>
      <c r="M55" s="51">
        <f t="shared" ref="M55" si="20">E55*L55</f>
        <v>0</v>
      </c>
      <c r="N55" s="95">
        <f t="shared" ref="N55" si="21">IF(G55="","",(I55+K55+M55))</f>
        <v>1891.9999999999998</v>
      </c>
      <c r="O55" s="101"/>
    </row>
    <row r="56" spans="1:15" ht="29.25">
      <c r="A56" s="109">
        <f t="shared" si="1"/>
        <v>38</v>
      </c>
      <c r="B56" s="134" t="s">
        <v>72</v>
      </c>
      <c r="C56" s="34" t="s">
        <v>74</v>
      </c>
      <c r="D56" s="21">
        <v>25</v>
      </c>
      <c r="E56" s="131">
        <v>0.1</v>
      </c>
      <c r="F56" s="21" t="s">
        <v>31</v>
      </c>
      <c r="G56" s="21">
        <f t="shared" ref="G56" si="22">D56+(D56*E56)</f>
        <v>27.5</v>
      </c>
      <c r="H56" s="51">
        <v>28</v>
      </c>
      <c r="I56" s="51">
        <f t="shared" ref="I56" si="23">G56*H56</f>
        <v>770</v>
      </c>
      <c r="J56" s="51"/>
      <c r="K56" s="51">
        <f>G56*J56</f>
        <v>0</v>
      </c>
      <c r="L56" s="51">
        <v>0</v>
      </c>
      <c r="M56" s="51">
        <f t="shared" ref="M56" si="24">E56*L56</f>
        <v>0</v>
      </c>
      <c r="N56" s="95">
        <f t="shared" ref="N56" si="25">IF(G56="","",(I56+K56+M56))</f>
        <v>770</v>
      </c>
      <c r="O56" s="101"/>
    </row>
    <row r="57" spans="1:15" s="3" customFormat="1" ht="18" customHeight="1">
      <c r="A57" s="61" t="str">
        <f>IF(F57=0,"",1+MAX(A53:A56))</f>
        <v/>
      </c>
      <c r="B57" s="102"/>
      <c r="C57" s="103"/>
      <c r="D57" s="104"/>
      <c r="E57" s="104"/>
      <c r="F57" s="104"/>
      <c r="G57" s="104"/>
      <c r="H57" s="104"/>
      <c r="I57" s="104"/>
      <c r="J57" s="104"/>
      <c r="K57" s="104"/>
      <c r="L57" s="104"/>
      <c r="M57" s="104" t="s">
        <v>10</v>
      </c>
      <c r="N57" s="75">
        <f>SUM(N15:N56)</f>
        <v>37280.150000000016</v>
      </c>
      <c r="O57" s="105"/>
    </row>
    <row r="58" spans="1:15" ht="18" customHeight="1">
      <c r="A58" s="145"/>
      <c r="B58" s="146"/>
      <c r="C58" s="146"/>
      <c r="D58" s="146"/>
      <c r="E58" s="146"/>
      <c r="F58" s="146"/>
      <c r="G58" s="146"/>
      <c r="H58" s="146"/>
      <c r="I58" s="146"/>
      <c r="J58" s="146"/>
      <c r="K58" s="146"/>
      <c r="L58" s="85"/>
      <c r="M58" s="85"/>
      <c r="N58" s="76"/>
      <c r="O58" s="107"/>
    </row>
    <row r="59" spans="1:15" s="57" customFormat="1" ht="20.100000000000001" customHeight="1">
      <c r="A59" s="149" t="s">
        <v>35</v>
      </c>
      <c r="B59" s="150"/>
      <c r="C59" s="150"/>
      <c r="D59" s="150"/>
      <c r="E59" s="150"/>
      <c r="F59" s="150"/>
      <c r="G59" s="150"/>
      <c r="H59" s="150"/>
      <c r="I59" s="150"/>
      <c r="J59" s="150"/>
      <c r="K59" s="150"/>
      <c r="L59" s="151"/>
      <c r="M59" s="60"/>
      <c r="N59" s="97">
        <f>SUM(N11:N57)/2</f>
        <v>39516.950000000012</v>
      </c>
      <c r="O59" s="112"/>
    </row>
    <row r="60" spans="1:15" s="57" customFormat="1" ht="20.100000000000001" customHeight="1">
      <c r="A60" s="149" t="s">
        <v>36</v>
      </c>
      <c r="B60" s="150"/>
      <c r="C60" s="150"/>
      <c r="D60" s="150"/>
      <c r="E60" s="150"/>
      <c r="F60" s="150"/>
      <c r="G60" s="150"/>
      <c r="H60" s="150"/>
      <c r="I60" s="150"/>
      <c r="J60" s="150"/>
      <c r="K60" s="150"/>
      <c r="L60" s="151"/>
      <c r="M60" s="60">
        <v>0.15</v>
      </c>
      <c r="N60" s="97">
        <f>$N$59*M60</f>
        <v>5927.5425000000014</v>
      </c>
      <c r="O60" s="112"/>
    </row>
    <row r="61" spans="1:15" s="57" customFormat="1" ht="20.100000000000001" customHeight="1">
      <c r="A61" s="152" t="s">
        <v>37</v>
      </c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4"/>
      <c r="M61" s="125"/>
      <c r="N61" s="126">
        <f>N59+N60</f>
        <v>45444.492500000015</v>
      </c>
      <c r="O61" s="127"/>
    </row>
    <row r="62" spans="1:15" s="57" customFormat="1" ht="20.100000000000001" customHeight="1">
      <c r="A62" s="149" t="s">
        <v>38</v>
      </c>
      <c r="B62" s="150"/>
      <c r="C62" s="150"/>
      <c r="D62" s="150"/>
      <c r="E62" s="150"/>
      <c r="F62" s="150"/>
      <c r="G62" s="150"/>
      <c r="H62" s="150"/>
      <c r="I62" s="150"/>
      <c r="J62" s="150"/>
      <c r="K62" s="150"/>
      <c r="L62" s="151"/>
      <c r="M62" s="60">
        <v>0.1</v>
      </c>
      <c r="N62" s="97">
        <f>N61*M62</f>
        <v>4544.4492500000015</v>
      </c>
      <c r="O62" s="112"/>
    </row>
    <row r="63" spans="1:15" s="3" customFormat="1" ht="20.100000000000001" customHeight="1">
      <c r="A63" s="147" t="s">
        <v>39</v>
      </c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62"/>
      <c r="M63" s="62"/>
      <c r="N63" s="123">
        <f>N61+N62</f>
        <v>49988.941750000013</v>
      </c>
      <c r="O63" s="63"/>
    </row>
    <row r="64" spans="1:15" ht="20.100000000000001" customHeight="1">
      <c r="A64" s="42" t="s">
        <v>19</v>
      </c>
      <c r="B64" s="106"/>
      <c r="C64" s="78"/>
      <c r="D64" s="113"/>
      <c r="E64" s="113"/>
      <c r="F64" s="78"/>
      <c r="G64" s="113"/>
      <c r="H64" s="78"/>
      <c r="I64" s="78"/>
      <c r="J64" s="78"/>
      <c r="K64" s="78"/>
      <c r="L64" s="78"/>
      <c r="M64" s="78"/>
      <c r="N64" s="124"/>
      <c r="O64" s="22"/>
    </row>
    <row r="65" spans="1:15" ht="30" customHeight="1">
      <c r="A65" s="41"/>
      <c r="B65" s="143" t="s">
        <v>32</v>
      </c>
      <c r="C65" s="143"/>
      <c r="D65" s="143"/>
      <c r="E65" s="143"/>
      <c r="F65" s="143"/>
      <c r="G65" s="143"/>
      <c r="H65" s="143"/>
      <c r="I65" s="143"/>
      <c r="J65" s="143"/>
      <c r="K65" s="143"/>
      <c r="L65" s="143"/>
      <c r="M65" s="143"/>
      <c r="N65" s="79"/>
      <c r="O65" s="33"/>
    </row>
    <row r="66" spans="1:15" ht="20.100000000000001" customHeight="1">
      <c r="A66" s="41"/>
      <c r="B66" s="114"/>
      <c r="C66" s="115"/>
      <c r="D66" s="116"/>
      <c r="E66" s="116"/>
      <c r="F66" s="78"/>
      <c r="G66" s="116"/>
      <c r="H66" s="78"/>
      <c r="I66" s="78"/>
      <c r="J66" s="78"/>
      <c r="K66" s="78"/>
      <c r="L66" s="78"/>
      <c r="M66" s="78"/>
      <c r="N66" s="78"/>
      <c r="O66" s="22"/>
    </row>
    <row r="67" spans="1:15" ht="20.100000000000001" customHeight="1">
      <c r="A67" s="41"/>
      <c r="B67" s="88"/>
      <c r="C67" s="117" t="s">
        <v>21</v>
      </c>
      <c r="D67" s="88"/>
      <c r="E67" s="88"/>
      <c r="F67" s="88"/>
      <c r="G67" s="88"/>
      <c r="H67" s="88"/>
      <c r="I67" s="88"/>
      <c r="J67" s="88"/>
      <c r="K67" s="117" t="s">
        <v>22</v>
      </c>
      <c r="L67" s="113"/>
      <c r="M67" s="78"/>
      <c r="N67" s="78"/>
      <c r="O67" s="22"/>
    </row>
    <row r="68" spans="1:15" ht="19.899999999999999" customHeight="1">
      <c r="A68" s="43"/>
      <c r="B68" s="88">
        <v>1</v>
      </c>
      <c r="C68" s="118" t="s">
        <v>23</v>
      </c>
      <c r="D68" s="88"/>
      <c r="E68" s="88"/>
      <c r="F68" s="88"/>
      <c r="G68" s="88"/>
      <c r="H68" s="88"/>
      <c r="I68" s="88"/>
      <c r="J68" s="88"/>
      <c r="K68" s="119" t="s">
        <v>42</v>
      </c>
      <c r="L68" s="113"/>
      <c r="M68" s="78"/>
      <c r="N68" s="79"/>
      <c r="O68" s="33"/>
    </row>
    <row r="69" spans="1:15" ht="20.100000000000001" customHeight="1">
      <c r="A69" s="41"/>
      <c r="B69" s="88"/>
      <c r="C69" s="119"/>
      <c r="D69" s="119"/>
      <c r="E69" s="119"/>
      <c r="F69" s="88"/>
      <c r="G69" s="119"/>
      <c r="H69" s="88"/>
      <c r="I69" s="88"/>
      <c r="J69" s="88"/>
      <c r="K69" s="119" t="s">
        <v>43</v>
      </c>
      <c r="L69" s="113"/>
      <c r="M69" s="78"/>
      <c r="N69" s="79"/>
      <c r="O69" s="33"/>
    </row>
    <row r="70" spans="1:15" ht="20.100000000000001" customHeight="1">
      <c r="A70" s="41"/>
      <c r="B70" s="88"/>
      <c r="C70" s="88"/>
      <c r="D70" s="116"/>
      <c r="E70" s="116"/>
      <c r="F70" s="88"/>
      <c r="G70" s="116"/>
      <c r="H70" s="88"/>
      <c r="I70" s="88"/>
      <c r="J70" s="88"/>
      <c r="K70" s="119" t="s">
        <v>40</v>
      </c>
      <c r="L70" s="120"/>
      <c r="M70" s="78"/>
      <c r="N70" s="78"/>
      <c r="O70" s="22"/>
    </row>
    <row r="71" spans="1:15" ht="20.100000000000001" customHeight="1">
      <c r="A71" s="41"/>
      <c r="B71" s="88"/>
      <c r="C71" s="121"/>
      <c r="D71" s="116"/>
      <c r="E71" s="116"/>
      <c r="F71" s="88"/>
      <c r="G71" s="116"/>
      <c r="H71" s="88"/>
      <c r="I71" s="88"/>
      <c r="J71" s="88"/>
      <c r="K71" s="119" t="s">
        <v>24</v>
      </c>
      <c r="L71" s="122"/>
      <c r="M71" s="78"/>
      <c r="N71" s="78"/>
      <c r="O71" s="22"/>
    </row>
    <row r="72" spans="1:15" ht="20.100000000000001" customHeight="1">
      <c r="A72" s="41"/>
      <c r="B72" s="88"/>
      <c r="C72" s="88"/>
      <c r="D72" s="116"/>
      <c r="E72" s="116"/>
      <c r="F72" s="88"/>
      <c r="G72" s="116"/>
      <c r="H72" s="88"/>
      <c r="I72" s="88"/>
      <c r="J72" s="88"/>
      <c r="K72" s="119" t="s">
        <v>44</v>
      </c>
      <c r="L72" s="122"/>
      <c r="M72" s="78"/>
      <c r="N72" s="79"/>
      <c r="O72" s="33"/>
    </row>
    <row r="73" spans="1:15" ht="20.100000000000001" customHeight="1">
      <c r="A73" s="41"/>
      <c r="B73" s="88"/>
      <c r="C73" s="115"/>
      <c r="D73" s="116"/>
      <c r="E73" s="116"/>
      <c r="F73" s="88"/>
      <c r="G73" s="116"/>
      <c r="H73" s="78"/>
      <c r="I73" s="78"/>
      <c r="J73" s="78"/>
      <c r="K73" s="119" t="s">
        <v>25</v>
      </c>
      <c r="L73" s="122"/>
      <c r="M73" s="78"/>
      <c r="N73" s="79"/>
      <c r="O73" s="33"/>
    </row>
    <row r="74" spans="1:15" ht="20.100000000000001" customHeight="1">
      <c r="A74" s="41"/>
      <c r="B74" s="88"/>
      <c r="C74" s="115"/>
      <c r="D74" s="116"/>
      <c r="E74" s="116"/>
      <c r="F74" s="88"/>
      <c r="G74" s="116"/>
      <c r="H74" s="78"/>
      <c r="I74" s="78"/>
      <c r="J74" s="78"/>
      <c r="K74" s="119" t="s">
        <v>26</v>
      </c>
      <c r="L74" s="122"/>
      <c r="M74" s="78"/>
      <c r="N74" s="78"/>
      <c r="O74" s="22"/>
    </row>
    <row r="75" spans="1:15" ht="20.100000000000001" customHeight="1">
      <c r="A75" s="41"/>
      <c r="B75" s="88"/>
      <c r="C75" s="115"/>
      <c r="D75" s="116"/>
      <c r="E75" s="116"/>
      <c r="F75" s="88"/>
      <c r="G75" s="116"/>
      <c r="H75" s="78"/>
      <c r="I75" s="78"/>
      <c r="J75" s="78"/>
      <c r="L75" s="122"/>
      <c r="M75" s="78"/>
      <c r="N75" s="78"/>
      <c r="O75" s="22"/>
    </row>
    <row r="76" spans="1:15" ht="15.75" customHeight="1">
      <c r="A76" s="41"/>
      <c r="B76" s="114"/>
      <c r="C76" s="115"/>
      <c r="D76" s="116"/>
      <c r="E76" s="116"/>
      <c r="F76" s="78"/>
      <c r="G76" s="116"/>
      <c r="H76" s="78"/>
      <c r="I76" s="78"/>
      <c r="J76" s="78"/>
      <c r="K76" s="78"/>
      <c r="L76" s="78"/>
      <c r="M76" s="78"/>
      <c r="N76" s="79"/>
      <c r="O76" s="33"/>
    </row>
    <row r="77" spans="1:15" ht="15.75" customHeight="1" thickBot="1">
      <c r="A77" s="10"/>
      <c r="B77" s="11"/>
      <c r="C77" s="23"/>
      <c r="D77" s="24"/>
      <c r="E77" s="24"/>
      <c r="F77" s="23"/>
      <c r="G77" s="24"/>
      <c r="H77" s="23"/>
      <c r="I77" s="23"/>
      <c r="J77" s="23"/>
      <c r="K77" s="23"/>
      <c r="L77" s="23"/>
      <c r="M77" s="23"/>
      <c r="N77" s="78"/>
      <c r="O77" s="25"/>
    </row>
  </sheetData>
  <autoFilter ref="F1:F77"/>
  <mergeCells count="21">
    <mergeCell ref="B65:M65"/>
    <mergeCell ref="I8:J8"/>
    <mergeCell ref="K5:L5"/>
    <mergeCell ref="K6:L6"/>
    <mergeCell ref="K8:L8"/>
    <mergeCell ref="K7:L7"/>
    <mergeCell ref="A58:K58"/>
    <mergeCell ref="A63:K63"/>
    <mergeCell ref="A59:L59"/>
    <mergeCell ref="A60:L60"/>
    <mergeCell ref="A61:L61"/>
    <mergeCell ref="A62:L62"/>
    <mergeCell ref="B15:M15"/>
    <mergeCell ref="B11:M11"/>
    <mergeCell ref="I3:J3"/>
    <mergeCell ref="K3:L3"/>
    <mergeCell ref="K4:L4"/>
    <mergeCell ref="I4:J4"/>
    <mergeCell ref="I7:J7"/>
    <mergeCell ref="I6:J6"/>
    <mergeCell ref="I5:J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ECC9B8A-9667-4B02-9002-B2AD94E03CEF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2026-07-02T19:54:25Z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{CECC9B8A-9667-4B02-9002-B2AD94E03CEF}</vt:lpwstr>
  </property>
</Properties>
</file>